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8_{8A4376EA-75BC-45F4-A00C-26B11C7A6753}" xr6:coauthVersionLast="47" xr6:coauthVersionMax="47" xr10:uidLastSave="{00000000-0000-0000-0000-000000000000}"/>
  <bookViews>
    <workbookView xWindow="-110" yWindow="-110" windowWidth="19420" windowHeight="11620" tabRatio="944" activeTab="2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state="hidden" r:id="rId10"/>
  </sheets>
  <externalReferences>
    <externalReference r:id="rId11"/>
    <externalReference r:id="rId12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prices)'!$B$1:$R$144</definedName>
    <definedName name="_xlnm.Print_Area" localSheetId="8">'Capacity (national prices)'!$B$1:$R$143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(cash)'!$B$1:$J$24</definedName>
    <definedName name="_xlnm.Print_Area" localSheetId="2">'Inputs and eligible population'!$A$2:$M$109</definedName>
    <definedName name="_xlnm.Print_Area" localSheetId="5">'Population selection'!$B$11:$J$17</definedName>
    <definedName name="_xlnm.Print_Area" localSheetId="4">Summary!$B$1:$K$73</definedName>
    <definedName name="_xlnm.Print_Area" localSheetId="3">'Unit costs'!$B$1:$S$54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1" l="1"/>
  <c r="G50" i="21"/>
  <c r="J48" i="21"/>
  <c r="J47" i="21"/>
  <c r="G48" i="21"/>
  <c r="G47" i="21"/>
  <c r="G34" i="50" l="1"/>
  <c r="G33" i="50"/>
  <c r="G31" i="50"/>
  <c r="G30" i="50"/>
  <c r="G29" i="50"/>
  <c r="F29" i="50"/>
  <c r="G28" i="50"/>
  <c r="G27" i="50"/>
  <c r="F27" i="50"/>
  <c r="F30" i="50"/>
  <c r="U71" i="57" l="1"/>
  <c r="U63" i="57"/>
  <c r="U54" i="57"/>
  <c r="B15" i="56" l="1"/>
  <c r="B15" i="46"/>
  <c r="B14" i="56"/>
  <c r="B14" i="46"/>
  <c r="C60" i="46"/>
  <c r="C54" i="56"/>
  <c r="I48" i="21" l="1"/>
  <c r="I49" i="21"/>
  <c r="I47" i="21"/>
  <c r="C34" i="56" l="1"/>
  <c r="B140" i="46"/>
  <c r="B141" i="46"/>
  <c r="B139" i="46"/>
  <c r="G49" i="21"/>
  <c r="J49" i="21"/>
  <c r="Q12" i="21"/>
  <c r="M12" i="21"/>
  <c r="G12" i="21"/>
  <c r="C35" i="56" l="1"/>
  <c r="R12" i="21"/>
  <c r="R13" i="21" s="1"/>
  <c r="C19" i="42" s="1"/>
  <c r="C44" i="50" l="1"/>
  <c r="C11" i="47" l="1"/>
  <c r="F15" i="50"/>
  <c r="F17" i="50"/>
  <c r="F18" i="50"/>
  <c r="D5" i="57"/>
  <c r="C34" i="46"/>
  <c r="F71" i="50"/>
  <c r="C41" i="56" s="1"/>
  <c r="C42" i="56" s="1"/>
  <c r="B11" i="56"/>
  <c r="B11" i="46"/>
  <c r="B10" i="46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C35" i="46" l="1"/>
  <c r="C41" i="46"/>
  <c r="C42" i="46" s="1"/>
  <c r="B13" i="56"/>
  <c r="B13" i="46"/>
  <c r="D26" i="21"/>
  <c r="C117" i="56" l="1"/>
  <c r="C80" i="56"/>
  <c r="C74" i="56"/>
  <c r="C117" i="46"/>
  <c r="C111" i="46"/>
  <c r="C105" i="46"/>
  <c r="C93" i="46"/>
  <c r="C86" i="46"/>
  <c r="C80" i="46"/>
  <c r="C74" i="46"/>
  <c r="K6" i="57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5" i="57"/>
  <c r="I73" i="50"/>
  <c r="I74" i="50"/>
  <c r="I77" i="50"/>
  <c r="I78" i="50"/>
  <c r="I79" i="50"/>
  <c r="I81" i="50"/>
  <c r="I72" i="50"/>
  <c r="V41" i="57"/>
  <c r="V40" i="57"/>
  <c r="V39" i="57"/>
  <c r="I80" i="50" s="1"/>
  <c r="V33" i="57"/>
  <c r="V34" i="57"/>
  <c r="V35" i="57"/>
  <c r="V36" i="57"/>
  <c r="V37" i="57"/>
  <c r="V38" i="57"/>
  <c r="V6" i="57"/>
  <c r="V7" i="57"/>
  <c r="V8" i="57"/>
  <c r="V9" i="57"/>
  <c r="V10" i="57"/>
  <c r="V11" i="57"/>
  <c r="V12" i="57"/>
  <c r="V13" i="57"/>
  <c r="V14" i="57"/>
  <c r="V15" i="57"/>
  <c r="V16" i="57"/>
  <c r="V17" i="57"/>
  <c r="V18" i="57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D105" i="57" l="1"/>
  <c r="C105" i="57"/>
  <c r="B105" i="57"/>
  <c r="F100" i="57"/>
  <c r="E100" i="57"/>
  <c r="D100" i="57"/>
  <c r="F99" i="57"/>
  <c r="E99" i="57"/>
  <c r="D99" i="57"/>
  <c r="F98" i="57"/>
  <c r="E98" i="57"/>
  <c r="D98" i="57"/>
  <c r="F97" i="57"/>
  <c r="E97" i="57"/>
  <c r="D97" i="57"/>
  <c r="F96" i="57"/>
  <c r="E96" i="57"/>
  <c r="D96" i="57"/>
  <c r="F95" i="57"/>
  <c r="E95" i="57"/>
  <c r="D95" i="57"/>
  <c r="F94" i="57"/>
  <c r="E94" i="57"/>
  <c r="D94" i="57"/>
  <c r="F93" i="57"/>
  <c r="E93" i="57"/>
  <c r="D93" i="57"/>
  <c r="F92" i="57"/>
  <c r="E92" i="57"/>
  <c r="D92" i="57"/>
  <c r="F91" i="57"/>
  <c r="E91" i="57"/>
  <c r="D91" i="57"/>
  <c r="F90" i="57"/>
  <c r="E90" i="57"/>
  <c r="D90" i="57"/>
  <c r="F89" i="57"/>
  <c r="E89" i="57"/>
  <c r="D89" i="57"/>
  <c r="F88" i="57"/>
  <c r="E88" i="57"/>
  <c r="D88" i="57"/>
  <c r="F87" i="57"/>
  <c r="E87" i="57"/>
  <c r="D87" i="57"/>
  <c r="F86" i="57"/>
  <c r="E86" i="57"/>
  <c r="D86" i="57"/>
  <c r="F85" i="57"/>
  <c r="E85" i="57"/>
  <c r="D85" i="57"/>
  <c r="F84" i="57"/>
  <c r="E84" i="57"/>
  <c r="D84" i="57"/>
  <c r="F83" i="57"/>
  <c r="E83" i="57"/>
  <c r="D83" i="57"/>
  <c r="F82" i="57"/>
  <c r="E82" i="57"/>
  <c r="D82" i="57"/>
  <c r="J81" i="57"/>
  <c r="M81" i="57" s="1"/>
  <c r="H81" i="57"/>
  <c r="F81" i="57"/>
  <c r="E81" i="57"/>
  <c r="D81" i="57"/>
  <c r="J80" i="57"/>
  <c r="L80" i="57" s="1"/>
  <c r="H80" i="57"/>
  <c r="F80" i="57"/>
  <c r="E80" i="57"/>
  <c r="D80" i="57"/>
  <c r="J79" i="57"/>
  <c r="L79" i="57" s="1"/>
  <c r="H79" i="57"/>
  <c r="F79" i="57"/>
  <c r="E79" i="57"/>
  <c r="D79" i="57"/>
  <c r="J78" i="57"/>
  <c r="L78" i="57" s="1"/>
  <c r="H78" i="57"/>
  <c r="F78" i="57"/>
  <c r="E78" i="57"/>
  <c r="D78" i="57"/>
  <c r="J77" i="57"/>
  <c r="M77" i="57" s="1"/>
  <c r="H77" i="57"/>
  <c r="F77" i="57"/>
  <c r="E77" i="57"/>
  <c r="D77" i="57"/>
  <c r="J76" i="57"/>
  <c r="M76" i="57" s="1"/>
  <c r="H76" i="57"/>
  <c r="F76" i="57"/>
  <c r="E76" i="57"/>
  <c r="D76" i="57"/>
  <c r="J75" i="57"/>
  <c r="L75" i="57" s="1"/>
  <c r="H75" i="57"/>
  <c r="F75" i="57"/>
  <c r="E75" i="57"/>
  <c r="D75" i="57"/>
  <c r="J74" i="57"/>
  <c r="L74" i="57" s="1"/>
  <c r="H74" i="57"/>
  <c r="F74" i="57"/>
  <c r="E74" i="57"/>
  <c r="D74" i="57"/>
  <c r="J73" i="57"/>
  <c r="M73" i="57" s="1"/>
  <c r="H73" i="57"/>
  <c r="F73" i="57"/>
  <c r="E73" i="57"/>
  <c r="D73" i="57"/>
  <c r="J72" i="57"/>
  <c r="M72" i="57" s="1"/>
  <c r="H72" i="57"/>
  <c r="F72" i="57"/>
  <c r="E72" i="57"/>
  <c r="D72" i="57"/>
  <c r="J71" i="57"/>
  <c r="L71" i="57" s="1"/>
  <c r="H71" i="57"/>
  <c r="F71" i="57"/>
  <c r="E71" i="57"/>
  <c r="D71" i="57"/>
  <c r="J70" i="57"/>
  <c r="L70" i="57" s="1"/>
  <c r="H70" i="57"/>
  <c r="F70" i="57"/>
  <c r="E70" i="57"/>
  <c r="D70" i="57"/>
  <c r="J69" i="57"/>
  <c r="M69" i="57" s="1"/>
  <c r="H69" i="57"/>
  <c r="F69" i="57"/>
  <c r="E69" i="57"/>
  <c r="D69" i="57"/>
  <c r="J68" i="57"/>
  <c r="L68" i="57" s="1"/>
  <c r="H68" i="57"/>
  <c r="F68" i="57"/>
  <c r="E68" i="57"/>
  <c r="D68" i="57"/>
  <c r="J67" i="57"/>
  <c r="L67" i="57" s="1"/>
  <c r="H67" i="57"/>
  <c r="F67" i="57"/>
  <c r="E67" i="57"/>
  <c r="D67" i="57"/>
  <c r="J66" i="57"/>
  <c r="L66" i="57" s="1"/>
  <c r="H66" i="57"/>
  <c r="F66" i="57"/>
  <c r="E66" i="57"/>
  <c r="D66" i="57"/>
  <c r="J65" i="57"/>
  <c r="M65" i="57" s="1"/>
  <c r="H65" i="57"/>
  <c r="F65" i="57"/>
  <c r="E65" i="57"/>
  <c r="D65" i="57"/>
  <c r="J64" i="57"/>
  <c r="M64" i="57" s="1"/>
  <c r="H64" i="57"/>
  <c r="F64" i="57"/>
  <c r="E64" i="57"/>
  <c r="D64" i="57"/>
  <c r="J63" i="57"/>
  <c r="L63" i="57" s="1"/>
  <c r="H63" i="57"/>
  <c r="F63" i="57"/>
  <c r="E63" i="57"/>
  <c r="D63" i="57"/>
  <c r="J62" i="57"/>
  <c r="L62" i="57" s="1"/>
  <c r="H62" i="57"/>
  <c r="F62" i="57"/>
  <c r="E62" i="57"/>
  <c r="D62" i="57"/>
  <c r="J61" i="57"/>
  <c r="M61" i="57" s="1"/>
  <c r="H61" i="57"/>
  <c r="F61" i="57"/>
  <c r="E61" i="57"/>
  <c r="D61" i="57"/>
  <c r="J60" i="57"/>
  <c r="M60" i="57" s="1"/>
  <c r="H60" i="57"/>
  <c r="F60" i="57"/>
  <c r="E60" i="57"/>
  <c r="D60" i="57"/>
  <c r="J59" i="57"/>
  <c r="L59" i="57" s="1"/>
  <c r="H59" i="57"/>
  <c r="F59" i="57"/>
  <c r="E59" i="57"/>
  <c r="D59" i="57"/>
  <c r="J58" i="57"/>
  <c r="L58" i="57" s="1"/>
  <c r="H58" i="57"/>
  <c r="F58" i="57"/>
  <c r="E58" i="57"/>
  <c r="D58" i="57"/>
  <c r="J57" i="57"/>
  <c r="M57" i="57" s="1"/>
  <c r="H57" i="57"/>
  <c r="F57" i="57"/>
  <c r="E57" i="57"/>
  <c r="D57" i="57"/>
  <c r="J56" i="57"/>
  <c r="M56" i="57" s="1"/>
  <c r="H56" i="57"/>
  <c r="F56" i="57"/>
  <c r="E56" i="57"/>
  <c r="D56" i="57"/>
  <c r="J55" i="57"/>
  <c r="L55" i="57" s="1"/>
  <c r="H55" i="57"/>
  <c r="F55" i="57"/>
  <c r="E55" i="57"/>
  <c r="D55" i="57"/>
  <c r="J54" i="57"/>
  <c r="L54" i="57" s="1"/>
  <c r="H54" i="57"/>
  <c r="F54" i="57"/>
  <c r="E54" i="57"/>
  <c r="D54" i="57"/>
  <c r="J53" i="57"/>
  <c r="M53" i="57" s="1"/>
  <c r="H53" i="57"/>
  <c r="F53" i="57"/>
  <c r="E53" i="57"/>
  <c r="D53" i="57"/>
  <c r="J52" i="57"/>
  <c r="M52" i="57" s="1"/>
  <c r="H52" i="57"/>
  <c r="F52" i="57"/>
  <c r="E52" i="57"/>
  <c r="D52" i="57"/>
  <c r="J51" i="57"/>
  <c r="L51" i="57" s="1"/>
  <c r="H51" i="57"/>
  <c r="F51" i="57"/>
  <c r="E51" i="57"/>
  <c r="D51" i="57"/>
  <c r="J50" i="57"/>
  <c r="L50" i="57" s="1"/>
  <c r="H50" i="57"/>
  <c r="F50" i="57"/>
  <c r="E50" i="57"/>
  <c r="D50" i="57"/>
  <c r="J49" i="57"/>
  <c r="M49" i="57" s="1"/>
  <c r="H49" i="57"/>
  <c r="F49" i="57"/>
  <c r="E49" i="57"/>
  <c r="D49" i="57"/>
  <c r="J48" i="57"/>
  <c r="M48" i="57" s="1"/>
  <c r="H48" i="57"/>
  <c r="F48" i="57"/>
  <c r="E48" i="57"/>
  <c r="D48" i="57"/>
  <c r="J47" i="57"/>
  <c r="L47" i="57" s="1"/>
  <c r="H47" i="57"/>
  <c r="F47" i="57"/>
  <c r="E47" i="57"/>
  <c r="D47" i="57"/>
  <c r="J46" i="57"/>
  <c r="L46" i="57" s="1"/>
  <c r="H46" i="57"/>
  <c r="F46" i="57"/>
  <c r="E46" i="57"/>
  <c r="D46" i="57"/>
  <c r="J45" i="57"/>
  <c r="M45" i="57" s="1"/>
  <c r="H45" i="57"/>
  <c r="F45" i="57"/>
  <c r="E45" i="57"/>
  <c r="D45" i="57"/>
  <c r="J44" i="57"/>
  <c r="N44" i="57" s="1"/>
  <c r="H44" i="57"/>
  <c r="F44" i="57"/>
  <c r="E44" i="57"/>
  <c r="D44" i="57"/>
  <c r="J43" i="57"/>
  <c r="M43" i="57" s="1"/>
  <c r="H43" i="57"/>
  <c r="F43" i="57"/>
  <c r="E43" i="57"/>
  <c r="D43" i="57"/>
  <c r="J42" i="57"/>
  <c r="H42" i="57"/>
  <c r="F42" i="57"/>
  <c r="E42" i="57"/>
  <c r="D42" i="57"/>
  <c r="J41" i="57"/>
  <c r="H41" i="57"/>
  <c r="F41" i="57"/>
  <c r="E41" i="57"/>
  <c r="D41" i="57"/>
  <c r="J40" i="57"/>
  <c r="L40" i="57" s="1"/>
  <c r="H40" i="57"/>
  <c r="F40" i="57"/>
  <c r="E40" i="57"/>
  <c r="D40" i="57"/>
  <c r="J39" i="57"/>
  <c r="H39" i="57"/>
  <c r="F39" i="57"/>
  <c r="E39" i="57"/>
  <c r="D39" i="57"/>
  <c r="J38" i="57"/>
  <c r="M38" i="57" s="1"/>
  <c r="H38" i="57"/>
  <c r="F38" i="57"/>
  <c r="E38" i="57"/>
  <c r="D38" i="57"/>
  <c r="J37" i="57"/>
  <c r="L37" i="57" s="1"/>
  <c r="H37" i="57"/>
  <c r="F37" i="57"/>
  <c r="E37" i="57"/>
  <c r="D37" i="57"/>
  <c r="J36" i="57"/>
  <c r="L36" i="57" s="1"/>
  <c r="H36" i="57"/>
  <c r="F36" i="57"/>
  <c r="E36" i="57"/>
  <c r="D36" i="57"/>
  <c r="J35" i="57"/>
  <c r="M35" i="57" s="1"/>
  <c r="H35" i="57"/>
  <c r="F35" i="57"/>
  <c r="E35" i="57"/>
  <c r="D35" i="57"/>
  <c r="J34" i="57"/>
  <c r="M34" i="57" s="1"/>
  <c r="H34" i="57"/>
  <c r="F34" i="57"/>
  <c r="E34" i="57"/>
  <c r="D34" i="57"/>
  <c r="J33" i="57"/>
  <c r="L33" i="57" s="1"/>
  <c r="H33" i="57"/>
  <c r="F33" i="57"/>
  <c r="E33" i="57"/>
  <c r="D33" i="57"/>
  <c r="J32" i="57"/>
  <c r="L32" i="57" s="1"/>
  <c r="H32" i="57"/>
  <c r="F32" i="57"/>
  <c r="E32" i="57"/>
  <c r="D32" i="57"/>
  <c r="J31" i="57"/>
  <c r="M31" i="57" s="1"/>
  <c r="H31" i="57"/>
  <c r="F31" i="57"/>
  <c r="E31" i="57"/>
  <c r="D31" i="57"/>
  <c r="J30" i="57"/>
  <c r="M30" i="57" s="1"/>
  <c r="H30" i="57"/>
  <c r="F30" i="57"/>
  <c r="E30" i="57"/>
  <c r="D30" i="57"/>
  <c r="J29" i="57"/>
  <c r="L29" i="57" s="1"/>
  <c r="H29" i="57"/>
  <c r="F29" i="57"/>
  <c r="E29" i="57"/>
  <c r="D29" i="57"/>
  <c r="J28" i="57"/>
  <c r="L28" i="57" s="1"/>
  <c r="H28" i="57"/>
  <c r="F28" i="57"/>
  <c r="E28" i="57"/>
  <c r="D28" i="57"/>
  <c r="J27" i="57"/>
  <c r="M27" i="57" s="1"/>
  <c r="H27" i="57"/>
  <c r="F27" i="57"/>
  <c r="E27" i="57"/>
  <c r="D27" i="57"/>
  <c r="J26" i="57"/>
  <c r="M26" i="57" s="1"/>
  <c r="H26" i="57"/>
  <c r="F26" i="57"/>
  <c r="E26" i="57"/>
  <c r="D26" i="57"/>
  <c r="J25" i="57"/>
  <c r="L25" i="57" s="1"/>
  <c r="H25" i="57"/>
  <c r="F25" i="57"/>
  <c r="E25" i="57"/>
  <c r="D25" i="57"/>
  <c r="J24" i="57"/>
  <c r="L24" i="57" s="1"/>
  <c r="H24" i="57"/>
  <c r="F24" i="57"/>
  <c r="E24" i="57"/>
  <c r="D24" i="57"/>
  <c r="J23" i="57"/>
  <c r="M23" i="57" s="1"/>
  <c r="H23" i="57"/>
  <c r="F23" i="57"/>
  <c r="E23" i="57"/>
  <c r="D23" i="57"/>
  <c r="J22" i="57"/>
  <c r="M22" i="57" s="1"/>
  <c r="H22" i="57"/>
  <c r="F22" i="57"/>
  <c r="E22" i="57"/>
  <c r="D22" i="57"/>
  <c r="J21" i="57"/>
  <c r="L21" i="57" s="1"/>
  <c r="H21" i="57"/>
  <c r="F21" i="57"/>
  <c r="E21" i="57"/>
  <c r="D21" i="57"/>
  <c r="J20" i="57"/>
  <c r="L20" i="57" s="1"/>
  <c r="H20" i="57"/>
  <c r="F20" i="57"/>
  <c r="E20" i="57"/>
  <c r="D20" i="57"/>
  <c r="J19" i="57"/>
  <c r="M19" i="57" s="1"/>
  <c r="H19" i="57"/>
  <c r="F19" i="57"/>
  <c r="E19" i="57"/>
  <c r="D19" i="57"/>
  <c r="J18" i="57"/>
  <c r="M18" i="57" s="1"/>
  <c r="H18" i="57"/>
  <c r="F18" i="57"/>
  <c r="E18" i="57"/>
  <c r="D18" i="57"/>
  <c r="J17" i="57"/>
  <c r="L17" i="57" s="1"/>
  <c r="H17" i="57"/>
  <c r="F17" i="57"/>
  <c r="E17" i="57"/>
  <c r="D17" i="57"/>
  <c r="J16" i="57"/>
  <c r="L16" i="57" s="1"/>
  <c r="H16" i="57"/>
  <c r="F16" i="57"/>
  <c r="E16" i="57"/>
  <c r="D16" i="57"/>
  <c r="J15" i="57"/>
  <c r="M15" i="57" s="1"/>
  <c r="H15" i="57"/>
  <c r="F15" i="57"/>
  <c r="E15" i="57"/>
  <c r="D15" i="57"/>
  <c r="J14" i="57"/>
  <c r="M14" i="57" s="1"/>
  <c r="H14" i="57"/>
  <c r="F14" i="57"/>
  <c r="E14" i="57"/>
  <c r="D14" i="57"/>
  <c r="J13" i="57"/>
  <c r="L13" i="57" s="1"/>
  <c r="H13" i="57"/>
  <c r="F13" i="57"/>
  <c r="E13" i="57"/>
  <c r="D13" i="57"/>
  <c r="J12" i="57"/>
  <c r="L12" i="57" s="1"/>
  <c r="H12" i="57"/>
  <c r="F12" i="57"/>
  <c r="E12" i="57"/>
  <c r="D12" i="57"/>
  <c r="J11" i="57"/>
  <c r="M11" i="57" s="1"/>
  <c r="H11" i="57"/>
  <c r="F11" i="57"/>
  <c r="E11" i="57"/>
  <c r="D11" i="57"/>
  <c r="J10" i="57"/>
  <c r="M10" i="57" s="1"/>
  <c r="H10" i="57"/>
  <c r="F10" i="57"/>
  <c r="E10" i="57"/>
  <c r="D10" i="57"/>
  <c r="J9" i="57"/>
  <c r="L9" i="57" s="1"/>
  <c r="H9" i="57"/>
  <c r="F9" i="57"/>
  <c r="E9" i="57"/>
  <c r="D9" i="57"/>
  <c r="J8" i="57"/>
  <c r="L8" i="57" s="1"/>
  <c r="H8" i="57"/>
  <c r="F8" i="57"/>
  <c r="E8" i="57"/>
  <c r="D8" i="57"/>
  <c r="J7" i="57"/>
  <c r="H7" i="57"/>
  <c r="F7" i="57"/>
  <c r="E7" i="57"/>
  <c r="D7" i="57"/>
  <c r="J6" i="57"/>
  <c r="L6" i="57" s="1"/>
  <c r="H6" i="57"/>
  <c r="F6" i="57"/>
  <c r="E6" i="57"/>
  <c r="D6" i="57"/>
  <c r="J5" i="57"/>
  <c r="L5" i="57" s="1"/>
  <c r="H5" i="57"/>
  <c r="F5" i="57"/>
  <c r="E5" i="57"/>
  <c r="L34" i="57" l="1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N80" i="57"/>
  <c r="N30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R41" i="57" s="1"/>
  <c r="G72" i="57"/>
  <c r="N34" i="57"/>
  <c r="L38" i="57"/>
  <c r="G52" i="57"/>
  <c r="G63" i="57"/>
  <c r="G77" i="57"/>
  <c r="G78" i="57"/>
  <c r="G99" i="57"/>
  <c r="L48" i="57"/>
  <c r="G50" i="57"/>
  <c r="L52" i="57"/>
  <c r="M68" i="57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G11" i="57"/>
  <c r="R7" i="57" s="1"/>
  <c r="L35" i="57"/>
  <c r="G51" i="57"/>
  <c r="G64" i="57"/>
  <c r="L76" i="57"/>
  <c r="G80" i="57"/>
  <c r="L19" i="57"/>
  <c r="G32" i="57"/>
  <c r="M75" i="57"/>
  <c r="G10" i="57"/>
  <c r="L15" i="57"/>
  <c r="N18" i="57"/>
  <c r="G20" i="57"/>
  <c r="L23" i="57"/>
  <c r="M33" i="57"/>
  <c r="G35" i="57"/>
  <c r="N48" i="57"/>
  <c r="N52" i="57"/>
  <c r="L65" i="57"/>
  <c r="N68" i="57"/>
  <c r="G76" i="57"/>
  <c r="G84" i="57"/>
  <c r="G100" i="57"/>
  <c r="R40" i="57" s="1"/>
  <c r="G7" i="57"/>
  <c r="G25" i="57"/>
  <c r="N39" i="57"/>
  <c r="M40" i="57"/>
  <c r="G47" i="57"/>
  <c r="G53" i="57"/>
  <c r="G54" i="57"/>
  <c r="N56" i="57"/>
  <c r="G65" i="57"/>
  <c r="M67" i="57"/>
  <c r="M79" i="57"/>
  <c r="G87" i="57"/>
  <c r="G92" i="57"/>
  <c r="G95" i="57"/>
  <c r="L56" i="57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R38" i="57" s="1"/>
  <c r="G85" i="57"/>
  <c r="G90" i="57"/>
  <c r="G93" i="57"/>
  <c r="G6" i="57"/>
  <c r="G9" i="57"/>
  <c r="G13" i="57"/>
  <c r="G17" i="57"/>
  <c r="N26" i="57"/>
  <c r="L31" i="57"/>
  <c r="G40" i="57"/>
  <c r="N42" i="57"/>
  <c r="N43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G5" i="57"/>
  <c r="G8" i="57"/>
  <c r="R6" i="57" s="1"/>
  <c r="G12" i="57"/>
  <c r="G16" i="57"/>
  <c r="G21" i="57"/>
  <c r="G23" i="57"/>
  <c r="G27" i="57"/>
  <c r="G28" i="57"/>
  <c r="G37" i="57"/>
  <c r="G44" i="57"/>
  <c r="M47" i="57"/>
  <c r="L53" i="57"/>
  <c r="G61" i="57"/>
  <c r="G62" i="57"/>
  <c r="N64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N7" i="57"/>
  <c r="L10" i="57"/>
  <c r="L14" i="57"/>
  <c r="N41" i="57"/>
  <c r="M13" i="57"/>
  <c r="L7" i="57"/>
  <c r="N11" i="57"/>
  <c r="N15" i="57"/>
  <c r="N19" i="57"/>
  <c r="N23" i="57"/>
  <c r="N27" i="57"/>
  <c r="N31" i="57"/>
  <c r="N35" i="57"/>
  <c r="L41" i="57"/>
  <c r="N45" i="57"/>
  <c r="N49" i="57"/>
  <c r="N53" i="57"/>
  <c r="N57" i="57"/>
  <c r="N61" i="57"/>
  <c r="N65" i="57"/>
  <c r="N69" i="57"/>
  <c r="N73" i="57"/>
  <c r="N77" i="57"/>
  <c r="N81" i="57"/>
  <c r="M6" i="57"/>
  <c r="M9" i="57"/>
  <c r="M25" i="57"/>
  <c r="M29" i="57"/>
  <c r="M7" i="57"/>
  <c r="M41" i="57"/>
  <c r="N5" i="57"/>
  <c r="N8" i="57"/>
  <c r="N12" i="57"/>
  <c r="N16" i="57"/>
  <c r="N20" i="57"/>
  <c r="N24" i="57"/>
  <c r="N28" i="57"/>
  <c r="N32" i="57"/>
  <c r="N36" i="57"/>
  <c r="L39" i="57"/>
  <c r="L42" i="57"/>
  <c r="N46" i="57"/>
  <c r="N50" i="57"/>
  <c r="N54" i="57"/>
  <c r="N58" i="57"/>
  <c r="N62" i="57"/>
  <c r="N66" i="57"/>
  <c r="N70" i="57"/>
  <c r="N74" i="57"/>
  <c r="N78" i="57"/>
  <c r="M5" i="57"/>
  <c r="N6" i="57"/>
  <c r="M8" i="57"/>
  <c r="N9" i="57"/>
  <c r="M12" i="57"/>
  <c r="N13" i="57"/>
  <c r="M16" i="57"/>
  <c r="N17" i="57"/>
  <c r="M20" i="57"/>
  <c r="N21" i="57"/>
  <c r="M24" i="57"/>
  <c r="N25" i="57"/>
  <c r="M28" i="57"/>
  <c r="N29" i="57"/>
  <c r="M32" i="57"/>
  <c r="N33" i="57"/>
  <c r="M36" i="57"/>
  <c r="N37" i="57"/>
  <c r="N40" i="57"/>
  <c r="L43" i="57"/>
  <c r="M46" i="57"/>
  <c r="N47" i="57"/>
  <c r="M50" i="57"/>
  <c r="N51" i="57"/>
  <c r="M54" i="57"/>
  <c r="N55" i="57"/>
  <c r="M58" i="57"/>
  <c r="N59" i="57"/>
  <c r="M62" i="57"/>
  <c r="N63" i="57"/>
  <c r="M66" i="57"/>
  <c r="N67" i="57"/>
  <c r="M70" i="57"/>
  <c r="N71" i="57"/>
  <c r="M74" i="57"/>
  <c r="N75" i="57"/>
  <c r="M78" i="57"/>
  <c r="N79" i="57"/>
  <c r="C111" i="56" l="1"/>
  <c r="C105" i="56"/>
  <c r="C99" i="56"/>
  <c r="C93" i="56"/>
  <c r="C86" i="56"/>
  <c r="C66" i="56"/>
  <c r="B26" i="56"/>
  <c r="B25" i="56"/>
  <c r="B24" i="56"/>
  <c r="B23" i="56"/>
  <c r="B22" i="56"/>
  <c r="B21" i="56"/>
  <c r="B20" i="56"/>
  <c r="B19" i="56"/>
  <c r="B18" i="56"/>
  <c r="B17" i="56"/>
  <c r="B16" i="56"/>
  <c r="B10" i="56"/>
  <c r="B1" i="56"/>
  <c r="B26" i="46"/>
  <c r="B25" i="46"/>
  <c r="B24" i="46"/>
  <c r="B23" i="46"/>
  <c r="B22" i="46"/>
  <c r="B21" i="46"/>
  <c r="B20" i="46"/>
  <c r="B19" i="46"/>
  <c r="B18" i="46"/>
  <c r="B17" i="46"/>
  <c r="B16" i="46"/>
  <c r="D66" i="56" l="1"/>
  <c r="D80" i="56"/>
  <c r="C67" i="56"/>
  <c r="C66" i="46"/>
  <c r="Q9" i="21"/>
  <c r="C43" i="50"/>
  <c r="G39" i="50"/>
  <c r="F80" i="50"/>
  <c r="D80" i="46" l="1"/>
  <c r="C67" i="46"/>
  <c r="D66" i="46"/>
  <c r="D67" i="46"/>
  <c r="C124" i="56"/>
  <c r="F81" i="50"/>
  <c r="C124" i="46"/>
  <c r="C99" i="46"/>
  <c r="D124" i="46" l="1"/>
  <c r="D68" i="46"/>
  <c r="D15" i="46" s="1"/>
  <c r="C131" i="46"/>
  <c r="C131" i="56"/>
  <c r="G38" i="50"/>
  <c r="L44" i="50"/>
  <c r="C38" i="50"/>
  <c r="F16" i="50"/>
  <c r="C16" i="50"/>
  <c r="F14" i="50"/>
  <c r="E11" i="47"/>
  <c r="F11" i="47"/>
  <c r="G11" i="47"/>
  <c r="H11" i="47"/>
  <c r="D11" i="47"/>
  <c r="H12" i="50" l="1"/>
  <c r="F19" i="50"/>
  <c r="G41" i="50" l="1"/>
  <c r="H41" i="50" s="1"/>
  <c r="I41" i="50" s="1"/>
  <c r="J41" i="50" s="1"/>
  <c r="K41" i="50" s="1"/>
  <c r="H9" i="21" l="1"/>
  <c r="C50" i="21" l="1"/>
  <c r="F82" i="50" s="1"/>
  <c r="B1" i="46" l="1"/>
  <c r="B1" i="42"/>
  <c r="B1" i="47"/>
  <c r="G42" i="50" l="1"/>
  <c r="H42" i="50" l="1"/>
  <c r="I42" i="50" s="1"/>
  <c r="J42" i="50" s="1"/>
  <c r="K42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G9" i="21"/>
  <c r="M9" i="21"/>
  <c r="J61" i="50"/>
  <c r="I61" i="50"/>
  <c r="H61" i="50"/>
  <c r="G61" i="50"/>
  <c r="F61" i="50"/>
  <c r="E61" i="50"/>
  <c r="K50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R9" i="21" l="1"/>
  <c r="F294" i="32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R10" i="21" l="1"/>
  <c r="C18" i="42" s="1"/>
  <c r="F550" i="32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s="1"/>
  <c r="F43" i="50" s="1"/>
  <c r="G12" i="50" l="1"/>
  <c r="F24" i="50"/>
  <c r="G43" i="50" l="1"/>
  <c r="K43" i="50"/>
  <c r="J43" i="50"/>
  <c r="I43" i="50"/>
  <c r="H43" i="50"/>
  <c r="F26" i="50"/>
  <c r="F28" i="50" l="1"/>
  <c r="F31" i="50"/>
  <c r="F32" i="50" s="1"/>
  <c r="F33" i="50" s="1"/>
  <c r="G25" i="50"/>
  <c r="G26" i="50"/>
  <c r="G32" i="50" l="1"/>
  <c r="F34" i="50"/>
  <c r="F44" i="50"/>
  <c r="C10" i="47" s="1"/>
  <c r="D7" i="46" l="1"/>
  <c r="D93" i="46" s="1"/>
  <c r="D7" i="56"/>
  <c r="D8" i="42"/>
  <c r="D14" i="42" l="1"/>
  <c r="D13" i="42"/>
  <c r="D34" i="46" s="1"/>
  <c r="D131" i="56"/>
  <c r="D111" i="56"/>
  <c r="D93" i="56"/>
  <c r="D105" i="56"/>
  <c r="D99" i="56"/>
  <c r="D111" i="46"/>
  <c r="D131" i="46"/>
  <c r="D105" i="46"/>
  <c r="K105" i="46" s="1"/>
  <c r="D99" i="46"/>
  <c r="D74" i="46"/>
  <c r="K74" i="46" s="1"/>
  <c r="G44" i="50"/>
  <c r="D10" i="47" s="1"/>
  <c r="H44" i="50"/>
  <c r="E10" i="47" s="1"/>
  <c r="K44" i="50"/>
  <c r="H10" i="47" s="1"/>
  <c r="I44" i="50"/>
  <c r="F10" i="47" s="1"/>
  <c r="J44" i="50"/>
  <c r="G10" i="47" s="1"/>
  <c r="D34" i="56" l="1"/>
  <c r="D35" i="56"/>
  <c r="D67" i="56"/>
  <c r="K106" i="46"/>
  <c r="K21" i="46" s="1"/>
  <c r="D100" i="46"/>
  <c r="D20" i="46" s="1"/>
  <c r="K131" i="56"/>
  <c r="K132" i="56" s="1"/>
  <c r="K25" i="56" s="1"/>
  <c r="D132" i="56"/>
  <c r="D25" i="56" s="1"/>
  <c r="H7" i="56"/>
  <c r="H111" i="56" s="1"/>
  <c r="H7" i="46"/>
  <c r="H8" i="42"/>
  <c r="D100" i="56"/>
  <c r="D20" i="56" s="1"/>
  <c r="K111" i="46"/>
  <c r="K112" i="46" s="1"/>
  <c r="K22" i="46" s="1"/>
  <c r="D112" i="46"/>
  <c r="D22" i="46" s="1"/>
  <c r="D106" i="56"/>
  <c r="D21" i="56" s="1"/>
  <c r="G7" i="56"/>
  <c r="G8" i="42"/>
  <c r="G7" i="46"/>
  <c r="I7" i="56"/>
  <c r="I8" i="42"/>
  <c r="I7" i="46"/>
  <c r="E8" i="42"/>
  <c r="E13" i="42" s="1"/>
  <c r="E7" i="56"/>
  <c r="E93" i="56" s="1"/>
  <c r="E7" i="46"/>
  <c r="E105" i="46" s="1"/>
  <c r="L105" i="46" s="1"/>
  <c r="D94" i="56"/>
  <c r="D19" i="56" s="1"/>
  <c r="D41" i="56"/>
  <c r="D41" i="46"/>
  <c r="D54" i="46" s="1"/>
  <c r="F8" i="42"/>
  <c r="F7" i="46"/>
  <c r="F7" i="56"/>
  <c r="D94" i="46"/>
  <c r="D19" i="46" s="1"/>
  <c r="D112" i="56"/>
  <c r="D22" i="56" s="1"/>
  <c r="D35" i="46"/>
  <c r="D42" i="46"/>
  <c r="D42" i="56"/>
  <c r="D60" i="56" s="1"/>
  <c r="D61" i="56" s="1"/>
  <c r="D14" i="56" s="1"/>
  <c r="K131" i="46"/>
  <c r="E80" i="56" l="1"/>
  <c r="E66" i="46"/>
  <c r="D60" i="46"/>
  <c r="K60" i="46" s="1"/>
  <c r="K61" i="46" s="1"/>
  <c r="K14" i="46" s="1"/>
  <c r="D68" i="56"/>
  <c r="D54" i="56"/>
  <c r="K54" i="56" s="1"/>
  <c r="K55" i="56" s="1"/>
  <c r="K13" i="56" s="1"/>
  <c r="G14" i="42"/>
  <c r="G67" i="46" s="1"/>
  <c r="G13" i="42"/>
  <c r="I14" i="42"/>
  <c r="I67" i="46" s="1"/>
  <c r="I13" i="42"/>
  <c r="H13" i="42"/>
  <c r="H14" i="42"/>
  <c r="H67" i="46" s="1"/>
  <c r="F14" i="42"/>
  <c r="F67" i="46" s="1"/>
  <c r="F13" i="42"/>
  <c r="E14" i="42"/>
  <c r="E67" i="46" s="1"/>
  <c r="D43" i="56"/>
  <c r="D36" i="56"/>
  <c r="D10" i="56" s="1"/>
  <c r="D43" i="46"/>
  <c r="D36" i="46"/>
  <c r="E105" i="56"/>
  <c r="E111" i="56"/>
  <c r="E99" i="56"/>
  <c r="I99" i="56"/>
  <c r="F93" i="56"/>
  <c r="H93" i="56"/>
  <c r="F105" i="56"/>
  <c r="F111" i="56"/>
  <c r="F131" i="56"/>
  <c r="M131" i="56" s="1"/>
  <c r="F99" i="56"/>
  <c r="H99" i="56"/>
  <c r="H131" i="56"/>
  <c r="O131" i="56" s="1"/>
  <c r="H105" i="56"/>
  <c r="I111" i="56"/>
  <c r="G99" i="56"/>
  <c r="G105" i="56"/>
  <c r="E131" i="56"/>
  <c r="L131" i="56" s="1"/>
  <c r="I105" i="56"/>
  <c r="G93" i="56"/>
  <c r="I131" i="56"/>
  <c r="P131" i="56" s="1"/>
  <c r="I93" i="56"/>
  <c r="G131" i="56"/>
  <c r="N131" i="56" s="1"/>
  <c r="G111" i="56"/>
  <c r="D117" i="56"/>
  <c r="K132" i="46"/>
  <c r="K25" i="46" s="1"/>
  <c r="D117" i="46"/>
  <c r="K117" i="46" s="1"/>
  <c r="D86" i="46"/>
  <c r="K86" i="46" s="1"/>
  <c r="K80" i="46"/>
  <c r="F93" i="46"/>
  <c r="F99" i="46"/>
  <c r="G93" i="46"/>
  <c r="G99" i="46"/>
  <c r="H93" i="46"/>
  <c r="H99" i="46"/>
  <c r="I93" i="46"/>
  <c r="I99" i="46"/>
  <c r="E93" i="46"/>
  <c r="E99" i="46"/>
  <c r="F111" i="46"/>
  <c r="M111" i="46" s="1"/>
  <c r="F105" i="46"/>
  <c r="M105" i="46" s="1"/>
  <c r="I111" i="46"/>
  <c r="P111" i="46" s="1"/>
  <c r="I105" i="46"/>
  <c r="P105" i="46" s="1"/>
  <c r="G105" i="46"/>
  <c r="N105" i="46" s="1"/>
  <c r="G111" i="46"/>
  <c r="N111" i="46" s="1"/>
  <c r="H111" i="46"/>
  <c r="O111" i="46" s="1"/>
  <c r="H105" i="46"/>
  <c r="O105" i="46" s="1"/>
  <c r="E111" i="46"/>
  <c r="L111" i="46" s="1"/>
  <c r="E74" i="46"/>
  <c r="L74" i="46" s="1"/>
  <c r="D55" i="46"/>
  <c r="H131" i="46"/>
  <c r="O131" i="46" s="1"/>
  <c r="E131" i="46"/>
  <c r="L131" i="46" s="1"/>
  <c r="G131" i="46"/>
  <c r="N131" i="46" s="1"/>
  <c r="F131" i="46"/>
  <c r="M131" i="46" s="1"/>
  <c r="I131" i="46"/>
  <c r="P131" i="46" s="1"/>
  <c r="D132" i="46"/>
  <c r="D106" i="46"/>
  <c r="K124" i="46"/>
  <c r="D15" i="42"/>
  <c r="C12" i="47" s="1"/>
  <c r="C16" i="47" s="1"/>
  <c r="D18" i="42"/>
  <c r="D19" i="42"/>
  <c r="G80" i="56" l="1"/>
  <c r="G66" i="46"/>
  <c r="H80" i="56"/>
  <c r="H66" i="46"/>
  <c r="E68" i="46"/>
  <c r="E15" i="46" s="1"/>
  <c r="F41" i="56"/>
  <c r="F80" i="56"/>
  <c r="F66" i="46"/>
  <c r="I80" i="56"/>
  <c r="I66" i="46"/>
  <c r="D74" i="56"/>
  <c r="D75" i="56" s="1"/>
  <c r="D16" i="56" s="1"/>
  <c r="D15" i="56"/>
  <c r="D61" i="46"/>
  <c r="D14" i="46" s="1"/>
  <c r="C15" i="47"/>
  <c r="C17" i="47" s="1"/>
  <c r="D55" i="56"/>
  <c r="D13" i="56" s="1"/>
  <c r="H35" i="56"/>
  <c r="H67" i="56"/>
  <c r="H34" i="56"/>
  <c r="H34" i="46"/>
  <c r="H66" i="56"/>
  <c r="I34" i="56"/>
  <c r="I34" i="46"/>
  <c r="I66" i="56"/>
  <c r="D139" i="56"/>
  <c r="K139" i="56" s="1"/>
  <c r="D138" i="56"/>
  <c r="K138" i="56" s="1"/>
  <c r="D141" i="46"/>
  <c r="K141" i="46" s="1"/>
  <c r="D140" i="46"/>
  <c r="K140" i="46" s="1"/>
  <c r="D140" i="56"/>
  <c r="K140" i="56" s="1"/>
  <c r="D139" i="46"/>
  <c r="K139" i="46" s="1"/>
  <c r="D86" i="56"/>
  <c r="D87" i="56" s="1"/>
  <c r="D18" i="56" s="1"/>
  <c r="D81" i="56"/>
  <c r="D17" i="56" s="1"/>
  <c r="D124" i="56"/>
  <c r="K124" i="56" s="1"/>
  <c r="K125" i="56" s="1"/>
  <c r="K24" i="56" s="1"/>
  <c r="I35" i="56"/>
  <c r="I67" i="56"/>
  <c r="E35" i="56"/>
  <c r="E67" i="56"/>
  <c r="G34" i="56"/>
  <c r="G34" i="46"/>
  <c r="G66" i="56"/>
  <c r="E34" i="56"/>
  <c r="E34" i="46"/>
  <c r="E66" i="56"/>
  <c r="G35" i="56"/>
  <c r="G67" i="56"/>
  <c r="F34" i="56"/>
  <c r="F34" i="46"/>
  <c r="F66" i="56"/>
  <c r="F35" i="56"/>
  <c r="F67" i="56"/>
  <c r="D11" i="56"/>
  <c r="D48" i="56"/>
  <c r="D49" i="56" s="1"/>
  <c r="D12" i="56" s="1"/>
  <c r="D11" i="46"/>
  <c r="D48" i="46"/>
  <c r="D49" i="46" s="1"/>
  <c r="D12" i="46" s="1"/>
  <c r="F117" i="46"/>
  <c r="M117" i="46" s="1"/>
  <c r="F117" i="56"/>
  <c r="F18" i="42"/>
  <c r="F80" i="46"/>
  <c r="M80" i="46" s="1"/>
  <c r="F41" i="46"/>
  <c r="F86" i="46"/>
  <c r="M86" i="46" s="1"/>
  <c r="E106" i="56"/>
  <c r="E21" i="56" s="1"/>
  <c r="E112" i="56"/>
  <c r="E22" i="56" s="1"/>
  <c r="L132" i="56"/>
  <c r="L133" i="56" s="1"/>
  <c r="E94" i="56"/>
  <c r="E19" i="56" s="1"/>
  <c r="F94" i="56"/>
  <c r="F95" i="56" s="1"/>
  <c r="E100" i="56"/>
  <c r="E101" i="56" s="1"/>
  <c r="O132" i="56"/>
  <c r="O133" i="56" s="1"/>
  <c r="H132" i="56"/>
  <c r="H133" i="56" s="1"/>
  <c r="F112" i="56"/>
  <c r="F113" i="56" s="1"/>
  <c r="H106" i="56"/>
  <c r="H21" i="56" s="1"/>
  <c r="I112" i="56"/>
  <c r="I113" i="56" s="1"/>
  <c r="I94" i="56"/>
  <c r="I19" i="56" s="1"/>
  <c r="H112" i="56"/>
  <c r="H22" i="56" s="1"/>
  <c r="H94" i="56"/>
  <c r="H95" i="56" s="1"/>
  <c r="I106" i="56"/>
  <c r="I21" i="56" s="1"/>
  <c r="M132" i="56"/>
  <c r="M133" i="56" s="1"/>
  <c r="F106" i="56"/>
  <c r="F107" i="56" s="1"/>
  <c r="H100" i="56"/>
  <c r="H101" i="56" s="1"/>
  <c r="F100" i="56"/>
  <c r="F101" i="56" s="1"/>
  <c r="F132" i="56"/>
  <c r="F133" i="56" s="1"/>
  <c r="P132" i="56"/>
  <c r="P133" i="56" s="1"/>
  <c r="I100" i="56"/>
  <c r="I20" i="56" s="1"/>
  <c r="G100" i="56"/>
  <c r="G20" i="56" s="1"/>
  <c r="E132" i="56"/>
  <c r="E133" i="56" s="1"/>
  <c r="G94" i="56"/>
  <c r="G95" i="56" s="1"/>
  <c r="G106" i="56"/>
  <c r="G21" i="56" s="1"/>
  <c r="N132" i="56"/>
  <c r="N133" i="56" s="1"/>
  <c r="I132" i="56"/>
  <c r="I133" i="56" s="1"/>
  <c r="G112" i="56"/>
  <c r="G113" i="56" s="1"/>
  <c r="G132" i="56"/>
  <c r="G133" i="56" s="1"/>
  <c r="E41" i="56"/>
  <c r="E41" i="46"/>
  <c r="F35" i="46"/>
  <c r="F42" i="56"/>
  <c r="F60" i="56" s="1"/>
  <c r="F61" i="56" s="1"/>
  <c r="F42" i="46"/>
  <c r="F60" i="46" s="1"/>
  <c r="G41" i="46"/>
  <c r="G41" i="56"/>
  <c r="E35" i="46"/>
  <c r="E42" i="46"/>
  <c r="E60" i="46" s="1"/>
  <c r="E42" i="56"/>
  <c r="E60" i="56" s="1"/>
  <c r="E61" i="56" s="1"/>
  <c r="G35" i="46"/>
  <c r="G42" i="46"/>
  <c r="G60" i="46" s="1"/>
  <c r="G42" i="56"/>
  <c r="G60" i="56" s="1"/>
  <c r="G61" i="56" s="1"/>
  <c r="I41" i="46"/>
  <c r="I54" i="46" s="1"/>
  <c r="I41" i="56"/>
  <c r="H35" i="46"/>
  <c r="H42" i="56"/>
  <c r="H60" i="56" s="1"/>
  <c r="H61" i="56" s="1"/>
  <c r="H42" i="46"/>
  <c r="H60" i="46" s="1"/>
  <c r="I35" i="46"/>
  <c r="I42" i="56"/>
  <c r="I60" i="56" s="1"/>
  <c r="I61" i="56" s="1"/>
  <c r="I42" i="46"/>
  <c r="I60" i="46" s="1"/>
  <c r="H41" i="56"/>
  <c r="H41" i="46"/>
  <c r="D13" i="46"/>
  <c r="L132" i="46"/>
  <c r="L133" i="46" s="1"/>
  <c r="D118" i="56"/>
  <c r="D23" i="56" s="1"/>
  <c r="E117" i="56"/>
  <c r="I117" i="56"/>
  <c r="O132" i="46"/>
  <c r="O133" i="46" s="1"/>
  <c r="G117" i="56"/>
  <c r="N132" i="46"/>
  <c r="N133" i="46" s="1"/>
  <c r="H117" i="56"/>
  <c r="M132" i="46"/>
  <c r="M133" i="46" s="1"/>
  <c r="K125" i="46"/>
  <c r="K24" i="46" s="1"/>
  <c r="P132" i="46"/>
  <c r="P133" i="46" s="1"/>
  <c r="L112" i="46"/>
  <c r="M106" i="46"/>
  <c r="K118" i="46"/>
  <c r="K23" i="46" s="1"/>
  <c r="N106" i="46"/>
  <c r="M112" i="46"/>
  <c r="M113" i="46" s="1"/>
  <c r="P112" i="46"/>
  <c r="P113" i="46" s="1"/>
  <c r="N112" i="46"/>
  <c r="N113" i="46" s="1"/>
  <c r="L106" i="46"/>
  <c r="O106" i="46"/>
  <c r="O112" i="46"/>
  <c r="O113" i="46" s="1"/>
  <c r="P106" i="46"/>
  <c r="K81" i="46"/>
  <c r="K87" i="46"/>
  <c r="K18" i="46" s="1"/>
  <c r="D75" i="46"/>
  <c r="D16" i="46" s="1"/>
  <c r="K75" i="46"/>
  <c r="K16" i="46" s="1"/>
  <c r="D25" i="46"/>
  <c r="D21" i="46"/>
  <c r="I117" i="46"/>
  <c r="P117" i="46" s="1"/>
  <c r="E117" i="46"/>
  <c r="L117" i="46" s="1"/>
  <c r="H117" i="46"/>
  <c r="O117" i="46" s="1"/>
  <c r="G117" i="46"/>
  <c r="N117" i="46" s="1"/>
  <c r="G100" i="46"/>
  <c r="F94" i="46"/>
  <c r="H94" i="46"/>
  <c r="I94" i="46"/>
  <c r="G94" i="46"/>
  <c r="E100" i="46"/>
  <c r="E94" i="46"/>
  <c r="H100" i="46"/>
  <c r="I100" i="46"/>
  <c r="F100" i="46"/>
  <c r="H112" i="46"/>
  <c r="H22" i="46" s="1"/>
  <c r="E112" i="46"/>
  <c r="E22" i="46" s="1"/>
  <c r="I112" i="46"/>
  <c r="I22" i="46" s="1"/>
  <c r="G112" i="46"/>
  <c r="G22" i="46" s="1"/>
  <c r="F112" i="46"/>
  <c r="F22" i="46" s="1"/>
  <c r="E80" i="46"/>
  <c r="L80" i="46" s="1"/>
  <c r="E18" i="42"/>
  <c r="E19" i="42"/>
  <c r="H80" i="46"/>
  <c r="O80" i="46" s="1"/>
  <c r="H18" i="42"/>
  <c r="H86" i="46"/>
  <c r="O86" i="46" s="1"/>
  <c r="H15" i="42"/>
  <c r="H132" i="46"/>
  <c r="H106" i="46"/>
  <c r="H19" i="42"/>
  <c r="I86" i="46"/>
  <c r="P86" i="46" s="1"/>
  <c r="E132" i="46"/>
  <c r="E25" i="46" s="1"/>
  <c r="I19" i="42"/>
  <c r="I15" i="42"/>
  <c r="I80" i="46"/>
  <c r="P80" i="46" s="1"/>
  <c r="I18" i="42"/>
  <c r="G132" i="46"/>
  <c r="G106" i="46"/>
  <c r="E106" i="46"/>
  <c r="F19" i="42"/>
  <c r="F15" i="42"/>
  <c r="I132" i="46"/>
  <c r="G18" i="42"/>
  <c r="G86" i="46"/>
  <c r="N86" i="46" s="1"/>
  <c r="G80" i="46"/>
  <c r="N80" i="46" s="1"/>
  <c r="I106" i="46"/>
  <c r="G19" i="42"/>
  <c r="F132" i="46"/>
  <c r="E15" i="42"/>
  <c r="F106" i="46"/>
  <c r="E86" i="46"/>
  <c r="L86" i="46" s="1"/>
  <c r="G15" i="42"/>
  <c r="D20" i="42"/>
  <c r="C22" i="47" s="1"/>
  <c r="D125" i="46"/>
  <c r="D81" i="46"/>
  <c r="D17" i="46" s="1"/>
  <c r="D87" i="46"/>
  <c r="D118" i="46"/>
  <c r="F12" i="47" l="1"/>
  <c r="G124" i="46"/>
  <c r="N124" i="46" s="1"/>
  <c r="N125" i="46" s="1"/>
  <c r="H68" i="46"/>
  <c r="H15" i="46" s="1"/>
  <c r="H74" i="46"/>
  <c r="O74" i="46" s="1"/>
  <c r="O75" i="46" s="1"/>
  <c r="O16" i="46" s="1"/>
  <c r="F54" i="56"/>
  <c r="M54" i="56" s="1"/>
  <c r="M55" i="56" s="1"/>
  <c r="F54" i="46"/>
  <c r="F55" i="46" s="1"/>
  <c r="F13" i="46" s="1"/>
  <c r="F68" i="46"/>
  <c r="F15" i="46" s="1"/>
  <c r="F74" i="46"/>
  <c r="M74" i="46" s="1"/>
  <c r="M75" i="46" s="1"/>
  <c r="D12" i="47"/>
  <c r="E124" i="46"/>
  <c r="L124" i="46" s="1"/>
  <c r="L125" i="46" s="1"/>
  <c r="G12" i="47"/>
  <c r="H124" i="46"/>
  <c r="O124" i="46" s="1"/>
  <c r="O125" i="46" s="1"/>
  <c r="E12" i="47"/>
  <c r="E16" i="47" s="1"/>
  <c r="F124" i="46"/>
  <c r="M124" i="46" s="1"/>
  <c r="M125" i="46" s="1"/>
  <c r="H12" i="47"/>
  <c r="I124" i="46"/>
  <c r="P124" i="46" s="1"/>
  <c r="P125" i="46" s="1"/>
  <c r="I68" i="46"/>
  <c r="I15" i="46" s="1"/>
  <c r="I74" i="46"/>
  <c r="P74" i="46" s="1"/>
  <c r="P75" i="46" s="1"/>
  <c r="P16" i="46" s="1"/>
  <c r="G68" i="46"/>
  <c r="G15" i="46" s="1"/>
  <c r="G74" i="46"/>
  <c r="N74" i="46" s="1"/>
  <c r="N75" i="46" s="1"/>
  <c r="H54" i="56"/>
  <c r="O54" i="56" s="1"/>
  <c r="O55" i="56" s="1"/>
  <c r="O13" i="56" s="1"/>
  <c r="I62" i="56"/>
  <c r="I14" i="56"/>
  <c r="F62" i="56"/>
  <c r="F14" i="56"/>
  <c r="G62" i="56"/>
  <c r="G14" i="56"/>
  <c r="E62" i="56"/>
  <c r="E14" i="56"/>
  <c r="H62" i="56"/>
  <c r="H14" i="56"/>
  <c r="E54" i="56"/>
  <c r="L54" i="56" s="1"/>
  <c r="L55" i="56" s="1"/>
  <c r="L13" i="56" s="1"/>
  <c r="H54" i="46"/>
  <c r="G54" i="46"/>
  <c r="G55" i="46" s="1"/>
  <c r="E54" i="46"/>
  <c r="E55" i="46" s="1"/>
  <c r="D125" i="56"/>
  <c r="D24" i="56" s="1"/>
  <c r="H68" i="56"/>
  <c r="G61" i="46"/>
  <c r="N60" i="46"/>
  <c r="N61" i="46" s="1"/>
  <c r="O60" i="46"/>
  <c r="O61" i="46" s="1"/>
  <c r="H61" i="46"/>
  <c r="L60" i="46"/>
  <c r="L61" i="46" s="1"/>
  <c r="E61" i="46"/>
  <c r="P60" i="46"/>
  <c r="P61" i="46" s="1"/>
  <c r="I61" i="46"/>
  <c r="F61" i="46"/>
  <c r="M60" i="46"/>
  <c r="M61" i="46" s="1"/>
  <c r="K141" i="56"/>
  <c r="K26" i="56" s="1"/>
  <c r="K27" i="56" s="1"/>
  <c r="C31" i="47" s="1"/>
  <c r="F68" i="56"/>
  <c r="G68" i="56"/>
  <c r="K142" i="46"/>
  <c r="K26" i="46" s="1"/>
  <c r="E68" i="56"/>
  <c r="E15" i="47"/>
  <c r="E17" i="47" s="1"/>
  <c r="D141" i="56"/>
  <c r="D26" i="56" s="1"/>
  <c r="D142" i="46"/>
  <c r="D26" i="46" s="1"/>
  <c r="I68" i="56"/>
  <c r="I54" i="56"/>
  <c r="P54" i="56" s="1"/>
  <c r="P55" i="56" s="1"/>
  <c r="P13" i="56" s="1"/>
  <c r="G54" i="56"/>
  <c r="N54" i="56" s="1"/>
  <c r="N55" i="56" s="1"/>
  <c r="N13" i="56" s="1"/>
  <c r="E139" i="56"/>
  <c r="L139" i="56" s="1"/>
  <c r="E139" i="46"/>
  <c r="L139" i="46" s="1"/>
  <c r="E140" i="46"/>
  <c r="L140" i="46" s="1"/>
  <c r="E138" i="56"/>
  <c r="L138" i="56" s="1"/>
  <c r="E141" i="46"/>
  <c r="L141" i="46" s="1"/>
  <c r="E140" i="56"/>
  <c r="L140" i="56" s="1"/>
  <c r="E81" i="56"/>
  <c r="E86" i="56"/>
  <c r="E87" i="56" s="1"/>
  <c r="E88" i="56" s="1"/>
  <c r="E124" i="56"/>
  <c r="L124" i="56" s="1"/>
  <c r="L125" i="56" s="1"/>
  <c r="F139" i="56"/>
  <c r="M139" i="56" s="1"/>
  <c r="F139" i="46"/>
  <c r="M139" i="46" s="1"/>
  <c r="F140" i="56"/>
  <c r="M140" i="56" s="1"/>
  <c r="F140" i="46"/>
  <c r="M140" i="46" s="1"/>
  <c r="F138" i="56"/>
  <c r="M138" i="56" s="1"/>
  <c r="F141" i="46"/>
  <c r="M141" i="46" s="1"/>
  <c r="F81" i="56"/>
  <c r="F17" i="56" s="1"/>
  <c r="F86" i="56"/>
  <c r="F87" i="56" s="1"/>
  <c r="F18" i="56" s="1"/>
  <c r="F124" i="56"/>
  <c r="M124" i="56" s="1"/>
  <c r="M125" i="56" s="1"/>
  <c r="H140" i="56"/>
  <c r="O140" i="56" s="1"/>
  <c r="H139" i="56"/>
  <c r="O139" i="56" s="1"/>
  <c r="H139" i="46"/>
  <c r="O139" i="46" s="1"/>
  <c r="H140" i="46"/>
  <c r="O140" i="46" s="1"/>
  <c r="H138" i="56"/>
  <c r="O138" i="56" s="1"/>
  <c r="H141" i="46"/>
  <c r="O141" i="46" s="1"/>
  <c r="H81" i="56"/>
  <c r="H82" i="56" s="1"/>
  <c r="H86" i="56"/>
  <c r="H87" i="56" s="1"/>
  <c r="H88" i="56" s="1"/>
  <c r="H124" i="56"/>
  <c r="O124" i="56" s="1"/>
  <c r="O125" i="56" s="1"/>
  <c r="G140" i="56"/>
  <c r="N140" i="56" s="1"/>
  <c r="G139" i="56"/>
  <c r="N139" i="56" s="1"/>
  <c r="G139" i="46"/>
  <c r="N139" i="46" s="1"/>
  <c r="G140" i="46"/>
  <c r="N140" i="46" s="1"/>
  <c r="G138" i="56"/>
  <c r="N138" i="56" s="1"/>
  <c r="G141" i="46"/>
  <c r="N141" i="46" s="1"/>
  <c r="G86" i="56"/>
  <c r="G87" i="56" s="1"/>
  <c r="G81" i="56"/>
  <c r="G82" i="56" s="1"/>
  <c r="G124" i="56"/>
  <c r="N124" i="56" s="1"/>
  <c r="I141" i="46"/>
  <c r="P141" i="46" s="1"/>
  <c r="I140" i="56"/>
  <c r="P140" i="56" s="1"/>
  <c r="I139" i="56"/>
  <c r="P139" i="56" s="1"/>
  <c r="I139" i="46"/>
  <c r="P139" i="46" s="1"/>
  <c r="I138" i="56"/>
  <c r="P138" i="56" s="1"/>
  <c r="I140" i="46"/>
  <c r="P140" i="46" s="1"/>
  <c r="I81" i="56"/>
  <c r="I86" i="56"/>
  <c r="I87" i="56" s="1"/>
  <c r="I124" i="56"/>
  <c r="P124" i="56" s="1"/>
  <c r="P125" i="56" s="1"/>
  <c r="H69" i="56"/>
  <c r="G16" i="47"/>
  <c r="G15" i="47"/>
  <c r="D16" i="47"/>
  <c r="D15" i="47"/>
  <c r="F15" i="47"/>
  <c r="F16" i="47"/>
  <c r="H16" i="47"/>
  <c r="H15" i="47"/>
  <c r="O25" i="56"/>
  <c r="H113" i="56"/>
  <c r="E107" i="56"/>
  <c r="L25" i="56"/>
  <c r="E113" i="56"/>
  <c r="E20" i="56"/>
  <c r="I107" i="56"/>
  <c r="M25" i="56"/>
  <c r="F25" i="56"/>
  <c r="F22" i="56"/>
  <c r="I25" i="56"/>
  <c r="F19" i="56"/>
  <c r="E95" i="56"/>
  <c r="G101" i="56"/>
  <c r="H25" i="56"/>
  <c r="I22" i="56"/>
  <c r="H107" i="56"/>
  <c r="I95" i="56"/>
  <c r="H20" i="56"/>
  <c r="F21" i="56"/>
  <c r="H19" i="56"/>
  <c r="G25" i="56"/>
  <c r="H55" i="56"/>
  <c r="G19" i="56"/>
  <c r="F20" i="56"/>
  <c r="I101" i="56"/>
  <c r="G107" i="56"/>
  <c r="E25" i="56"/>
  <c r="P25" i="56"/>
  <c r="G22" i="56"/>
  <c r="N25" i="56"/>
  <c r="F43" i="56"/>
  <c r="F43" i="46"/>
  <c r="H43" i="46"/>
  <c r="F36" i="56"/>
  <c r="F37" i="56" s="1"/>
  <c r="I36" i="46"/>
  <c r="I43" i="46"/>
  <c r="E36" i="56"/>
  <c r="E37" i="56" s="1"/>
  <c r="H43" i="56"/>
  <c r="E43" i="46"/>
  <c r="H36" i="56"/>
  <c r="H37" i="56" s="1"/>
  <c r="F36" i="46"/>
  <c r="G36" i="46"/>
  <c r="G43" i="46"/>
  <c r="G48" i="46" s="1"/>
  <c r="G49" i="46" s="1"/>
  <c r="I43" i="56"/>
  <c r="I48" i="56" s="1"/>
  <c r="G43" i="56"/>
  <c r="G48" i="56" s="1"/>
  <c r="I36" i="56"/>
  <c r="I37" i="56" s="1"/>
  <c r="G36" i="56"/>
  <c r="G37" i="56" s="1"/>
  <c r="E36" i="46"/>
  <c r="E43" i="56"/>
  <c r="E48" i="56" s="1"/>
  <c r="H36" i="46"/>
  <c r="H75" i="46"/>
  <c r="H16" i="46" s="1"/>
  <c r="H55" i="46"/>
  <c r="I55" i="46"/>
  <c r="I56" i="46" s="1"/>
  <c r="I75" i="46"/>
  <c r="I16" i="46" s="1"/>
  <c r="F118" i="56"/>
  <c r="F23" i="56" s="1"/>
  <c r="H118" i="56"/>
  <c r="H119" i="56" s="1"/>
  <c r="L25" i="46"/>
  <c r="O21" i="46"/>
  <c r="O107" i="46"/>
  <c r="L21" i="46"/>
  <c r="L107" i="46"/>
  <c r="O25" i="46"/>
  <c r="E118" i="56"/>
  <c r="M21" i="46"/>
  <c r="M107" i="46"/>
  <c r="G118" i="56"/>
  <c r="L22" i="46"/>
  <c r="L113" i="46"/>
  <c r="I118" i="56"/>
  <c r="M13" i="56"/>
  <c r="M56" i="56"/>
  <c r="N21" i="46"/>
  <c r="N107" i="46"/>
  <c r="P21" i="46"/>
  <c r="P107" i="46"/>
  <c r="N25" i="46"/>
  <c r="M25" i="46"/>
  <c r="P25" i="46"/>
  <c r="N118" i="46"/>
  <c r="O87" i="46"/>
  <c r="O88" i="46" s="1"/>
  <c r="L118" i="46"/>
  <c r="M87" i="46"/>
  <c r="M88" i="46" s="1"/>
  <c r="N87" i="46"/>
  <c r="N88" i="46" s="1"/>
  <c r="P87" i="46"/>
  <c r="M118" i="46"/>
  <c r="P118" i="46"/>
  <c r="O118" i="46"/>
  <c r="M81" i="46"/>
  <c r="M82" i="46" s="1"/>
  <c r="N81" i="46"/>
  <c r="N82" i="46" s="1"/>
  <c r="O22" i="46"/>
  <c r="N22" i="46"/>
  <c r="P22" i="46"/>
  <c r="M22" i="46"/>
  <c r="O81" i="46"/>
  <c r="P81" i="46"/>
  <c r="L81" i="46"/>
  <c r="L87" i="46"/>
  <c r="L88" i="46" s="1"/>
  <c r="K17" i="46"/>
  <c r="G75" i="46"/>
  <c r="G16" i="46" s="1"/>
  <c r="E75" i="46"/>
  <c r="E16" i="46" s="1"/>
  <c r="L75" i="46"/>
  <c r="G25" i="46"/>
  <c r="I25" i="46"/>
  <c r="F25" i="46"/>
  <c r="H25" i="46"/>
  <c r="D24" i="46"/>
  <c r="H95" i="46"/>
  <c r="G58" i="47" s="1"/>
  <c r="H19" i="46"/>
  <c r="H21" i="46"/>
  <c r="F95" i="46"/>
  <c r="E58" i="47" s="1"/>
  <c r="F19" i="46"/>
  <c r="I95" i="46"/>
  <c r="H58" i="47" s="1"/>
  <c r="I19" i="46"/>
  <c r="G101" i="46"/>
  <c r="F59" i="47" s="1"/>
  <c r="G20" i="46"/>
  <c r="F21" i="46"/>
  <c r="H101" i="46"/>
  <c r="G59" i="47" s="1"/>
  <c r="H20" i="46"/>
  <c r="F101" i="46"/>
  <c r="E59" i="47" s="1"/>
  <c r="F20" i="46"/>
  <c r="E95" i="46"/>
  <c r="D58" i="47" s="1"/>
  <c r="E19" i="46"/>
  <c r="D23" i="46"/>
  <c r="E21" i="46"/>
  <c r="E101" i="46"/>
  <c r="D59" i="47" s="1"/>
  <c r="E20" i="46"/>
  <c r="I21" i="46"/>
  <c r="I101" i="46"/>
  <c r="H59" i="47" s="1"/>
  <c r="I20" i="46"/>
  <c r="G21" i="46"/>
  <c r="G95" i="46"/>
  <c r="F58" i="47" s="1"/>
  <c r="G19" i="46"/>
  <c r="D18" i="46"/>
  <c r="H69" i="46"/>
  <c r="G50" i="47" s="1"/>
  <c r="E69" i="46"/>
  <c r="D50" i="47" s="1"/>
  <c r="E133" i="46"/>
  <c r="D69" i="47" s="1"/>
  <c r="I113" i="46"/>
  <c r="H61" i="47" s="1"/>
  <c r="G113" i="46"/>
  <c r="F61" i="47" s="1"/>
  <c r="E113" i="46"/>
  <c r="D61" i="47" s="1"/>
  <c r="F113" i="46"/>
  <c r="E61" i="47" s="1"/>
  <c r="H113" i="46"/>
  <c r="G61" i="47" s="1"/>
  <c r="E107" i="46"/>
  <c r="D60" i="47" s="1"/>
  <c r="F133" i="46"/>
  <c r="I133" i="46"/>
  <c r="H69" i="47" s="1"/>
  <c r="H133" i="46"/>
  <c r="G107" i="46"/>
  <c r="F60" i="47" s="1"/>
  <c r="I69" i="46"/>
  <c r="H50" i="47" s="1"/>
  <c r="H107" i="46"/>
  <c r="G60" i="47" s="1"/>
  <c r="G69" i="46"/>
  <c r="F50" i="47" s="1"/>
  <c r="F107" i="46"/>
  <c r="E60" i="47" s="1"/>
  <c r="I107" i="46"/>
  <c r="H60" i="47" s="1"/>
  <c r="G133" i="46"/>
  <c r="E20" i="42"/>
  <c r="E22" i="42" s="1"/>
  <c r="F87" i="46"/>
  <c r="F18" i="46" s="1"/>
  <c r="H87" i="46"/>
  <c r="H18" i="46" s="1"/>
  <c r="H118" i="46"/>
  <c r="H125" i="46"/>
  <c r="H24" i="46" s="1"/>
  <c r="H20" i="42"/>
  <c r="H22" i="42" s="1"/>
  <c r="H81" i="46"/>
  <c r="H17" i="46" s="1"/>
  <c r="I87" i="46"/>
  <c r="I18" i="46" s="1"/>
  <c r="F118" i="46"/>
  <c r="I118" i="46"/>
  <c r="F81" i="46"/>
  <c r="F17" i="46" s="1"/>
  <c r="I81" i="46"/>
  <c r="I17" i="46" s="1"/>
  <c r="G118" i="46"/>
  <c r="I20" i="42"/>
  <c r="I22" i="42" s="1"/>
  <c r="G87" i="46"/>
  <c r="G18" i="46" s="1"/>
  <c r="F20" i="42"/>
  <c r="F22" i="42" s="1"/>
  <c r="E118" i="46"/>
  <c r="G125" i="46"/>
  <c r="G24" i="46" s="1"/>
  <c r="E81" i="46"/>
  <c r="E17" i="46" s="1"/>
  <c r="E125" i="46"/>
  <c r="E87" i="46"/>
  <c r="E18" i="46" s="1"/>
  <c r="G81" i="46"/>
  <c r="G17" i="46" s="1"/>
  <c r="G20" i="42"/>
  <c r="G22" i="42" s="1"/>
  <c r="O76" i="46" l="1"/>
  <c r="P76" i="46"/>
  <c r="F69" i="46"/>
  <c r="E50" i="47" s="1"/>
  <c r="I125" i="46"/>
  <c r="I24" i="46" s="1"/>
  <c r="F75" i="46"/>
  <c r="F16" i="46" s="1"/>
  <c r="E55" i="56"/>
  <c r="E13" i="56" s="1"/>
  <c r="O56" i="56"/>
  <c r="F55" i="56"/>
  <c r="F56" i="56" s="1"/>
  <c r="F125" i="46"/>
  <c r="F24" i="46" s="1"/>
  <c r="I74" i="56"/>
  <c r="I75" i="56" s="1"/>
  <c r="I76" i="56" s="1"/>
  <c r="I15" i="56"/>
  <c r="E74" i="56"/>
  <c r="E75" i="56" s="1"/>
  <c r="E76" i="56" s="1"/>
  <c r="E15" i="56"/>
  <c r="G74" i="56"/>
  <c r="G75" i="56" s="1"/>
  <c r="G76" i="56" s="1"/>
  <c r="G15" i="56"/>
  <c r="F74" i="56"/>
  <c r="F75" i="56" s="1"/>
  <c r="F76" i="56" s="1"/>
  <c r="F15" i="56"/>
  <c r="H74" i="56"/>
  <c r="H75" i="56" s="1"/>
  <c r="H76" i="56" s="1"/>
  <c r="H15" i="56"/>
  <c r="P56" i="56"/>
  <c r="F69" i="56"/>
  <c r="L56" i="56"/>
  <c r="G50" i="46"/>
  <c r="G12" i="46"/>
  <c r="E13" i="46"/>
  <c r="E56" i="46"/>
  <c r="D48" i="47" s="1"/>
  <c r="G56" i="46"/>
  <c r="F48" i="47" s="1"/>
  <c r="G13" i="46"/>
  <c r="P62" i="46"/>
  <c r="P14" i="46"/>
  <c r="E62" i="46"/>
  <c r="D49" i="47" s="1"/>
  <c r="E14" i="46"/>
  <c r="L62" i="46"/>
  <c r="L14" i="46"/>
  <c r="H62" i="46"/>
  <c r="G49" i="47" s="1"/>
  <c r="H14" i="46"/>
  <c r="O62" i="46"/>
  <c r="O14" i="46"/>
  <c r="M62" i="46"/>
  <c r="M14" i="46"/>
  <c r="N62" i="46"/>
  <c r="N14" i="46"/>
  <c r="I62" i="46"/>
  <c r="H49" i="47" s="1"/>
  <c r="I14" i="46"/>
  <c r="F62" i="46"/>
  <c r="E49" i="47" s="1"/>
  <c r="F14" i="46"/>
  <c r="G62" i="46"/>
  <c r="F49" i="47" s="1"/>
  <c r="G14" i="46"/>
  <c r="G55" i="56"/>
  <c r="G13" i="56" s="1"/>
  <c r="I55" i="56"/>
  <c r="I56" i="56" s="1"/>
  <c r="G69" i="56"/>
  <c r="K27" i="46"/>
  <c r="E69" i="56"/>
  <c r="I125" i="56"/>
  <c r="I126" i="56" s="1"/>
  <c r="N56" i="56"/>
  <c r="P141" i="56"/>
  <c r="P26" i="56" s="1"/>
  <c r="L141" i="56"/>
  <c r="L26" i="56" s="1"/>
  <c r="O142" i="46"/>
  <c r="O143" i="46" s="1"/>
  <c r="F141" i="56"/>
  <c r="F26" i="56" s="1"/>
  <c r="M142" i="46"/>
  <c r="M26" i="46" s="1"/>
  <c r="G125" i="56"/>
  <c r="G126" i="56" s="1"/>
  <c r="M141" i="56"/>
  <c r="M26" i="56" s="1"/>
  <c r="L142" i="46"/>
  <c r="L143" i="46" s="1"/>
  <c r="E141" i="56"/>
  <c r="E142" i="56" s="1"/>
  <c r="N141" i="56"/>
  <c r="N142" i="56" s="1"/>
  <c r="E125" i="56"/>
  <c r="E24" i="56" s="1"/>
  <c r="N142" i="46"/>
  <c r="N143" i="46" s="1"/>
  <c r="O141" i="56"/>
  <c r="O142" i="56" s="1"/>
  <c r="F125" i="56"/>
  <c r="F24" i="56" s="1"/>
  <c r="P142" i="46"/>
  <c r="P143" i="46" s="1"/>
  <c r="E142" i="46"/>
  <c r="F142" i="46"/>
  <c r="F26" i="46" s="1"/>
  <c r="H141" i="56"/>
  <c r="H26" i="56" s="1"/>
  <c r="G142" i="46"/>
  <c r="G143" i="46" s="1"/>
  <c r="F72" i="47" s="1"/>
  <c r="H125" i="56"/>
  <c r="H126" i="56" s="1"/>
  <c r="I141" i="56"/>
  <c r="I142" i="56" s="1"/>
  <c r="I69" i="56"/>
  <c r="I142" i="46"/>
  <c r="I26" i="46" s="1"/>
  <c r="G141" i="56"/>
  <c r="G142" i="56" s="1"/>
  <c r="H142" i="46"/>
  <c r="H26" i="46" s="1"/>
  <c r="F10" i="56"/>
  <c r="G16" i="56"/>
  <c r="E16" i="56"/>
  <c r="F44" i="56"/>
  <c r="F48" i="56"/>
  <c r="F49" i="56" s="1"/>
  <c r="H11" i="56"/>
  <c r="H48" i="56"/>
  <c r="H49" i="56" s="1"/>
  <c r="I49" i="56"/>
  <c r="G49" i="56"/>
  <c r="E44" i="46"/>
  <c r="D46" i="47" s="1"/>
  <c r="E48" i="46"/>
  <c r="E49" i="46" s="1"/>
  <c r="H44" i="46"/>
  <c r="G46" i="47" s="1"/>
  <c r="H48" i="46"/>
  <c r="H49" i="46" s="1"/>
  <c r="I44" i="46"/>
  <c r="H46" i="47" s="1"/>
  <c r="I48" i="46"/>
  <c r="I49" i="46" s="1"/>
  <c r="F11" i="46"/>
  <c r="F48" i="46"/>
  <c r="F49" i="46" s="1"/>
  <c r="G17" i="47"/>
  <c r="H17" i="47"/>
  <c r="D17" i="47"/>
  <c r="F17" i="47"/>
  <c r="E49" i="56"/>
  <c r="E56" i="56"/>
  <c r="H56" i="56"/>
  <c r="H13" i="56"/>
  <c r="F44" i="46"/>
  <c r="E46" i="47" s="1"/>
  <c r="I11" i="46"/>
  <c r="F11" i="56"/>
  <c r="H11" i="46"/>
  <c r="H44" i="56"/>
  <c r="E10" i="56"/>
  <c r="H10" i="56"/>
  <c r="E11" i="46"/>
  <c r="G10" i="56"/>
  <c r="I10" i="56"/>
  <c r="I11" i="56"/>
  <c r="I44" i="56"/>
  <c r="G44" i="46"/>
  <c r="F46" i="47" s="1"/>
  <c r="G11" i="46"/>
  <c r="E11" i="56"/>
  <c r="E44" i="56"/>
  <c r="H76" i="46"/>
  <c r="G53" i="47" s="1"/>
  <c r="G44" i="56"/>
  <c r="G11" i="56"/>
  <c r="H13" i="46"/>
  <c r="F76" i="46"/>
  <c r="E53" i="47" s="1"/>
  <c r="I13" i="46"/>
  <c r="H56" i="46"/>
  <c r="G48" i="47" s="1"/>
  <c r="I76" i="46"/>
  <c r="H53" i="47" s="1"/>
  <c r="M16" i="46"/>
  <c r="M76" i="46"/>
  <c r="F56" i="46"/>
  <c r="E48" i="47" s="1"/>
  <c r="C37" i="47"/>
  <c r="F119" i="56"/>
  <c r="H23" i="56"/>
  <c r="G17" i="56"/>
  <c r="F82" i="56"/>
  <c r="F88" i="56"/>
  <c r="E18" i="56"/>
  <c r="I23" i="42"/>
  <c r="H17" i="56"/>
  <c r="H23" i="42"/>
  <c r="G23" i="42"/>
  <c r="F23" i="42"/>
  <c r="H18" i="56"/>
  <c r="N125" i="56"/>
  <c r="N24" i="56" s="1"/>
  <c r="M18" i="46"/>
  <c r="L24" i="56"/>
  <c r="L126" i="56"/>
  <c r="E17" i="56"/>
  <c r="E82" i="56"/>
  <c r="O23" i="46"/>
  <c r="O119" i="46"/>
  <c r="N23" i="46"/>
  <c r="N119" i="46"/>
  <c r="I88" i="56"/>
  <c r="I18" i="56"/>
  <c r="E119" i="56"/>
  <c r="E23" i="56"/>
  <c r="L23" i="46"/>
  <c r="L119" i="46"/>
  <c r="P23" i="46"/>
  <c r="P119" i="46"/>
  <c r="L24" i="46"/>
  <c r="L126" i="46"/>
  <c r="I23" i="56"/>
  <c r="I119" i="56"/>
  <c r="I82" i="56"/>
  <c r="I17" i="56"/>
  <c r="M23" i="46"/>
  <c r="M119" i="46"/>
  <c r="O24" i="56"/>
  <c r="O126" i="56"/>
  <c r="P18" i="46"/>
  <c r="P88" i="46"/>
  <c r="N24" i="46"/>
  <c r="N126" i="46"/>
  <c r="M24" i="56"/>
  <c r="M126" i="56"/>
  <c r="G18" i="56"/>
  <c r="G88" i="56"/>
  <c r="P24" i="46"/>
  <c r="P126" i="46"/>
  <c r="G23" i="56"/>
  <c r="G119" i="56"/>
  <c r="M24" i="46"/>
  <c r="M126" i="46"/>
  <c r="O24" i="46"/>
  <c r="O126" i="46"/>
  <c r="P24" i="56"/>
  <c r="P126" i="56"/>
  <c r="N18" i="46"/>
  <c r="O18" i="46"/>
  <c r="M17" i="46"/>
  <c r="E76" i="46"/>
  <c r="D53" i="47" s="1"/>
  <c r="N17" i="46"/>
  <c r="L18" i="46"/>
  <c r="L17" i="46"/>
  <c r="L82" i="46"/>
  <c r="G76" i="46"/>
  <c r="F53" i="47" s="1"/>
  <c r="P82" i="46"/>
  <c r="P17" i="46"/>
  <c r="O17" i="46"/>
  <c r="O82" i="46"/>
  <c r="L16" i="46"/>
  <c r="L76" i="46"/>
  <c r="N16" i="46"/>
  <c r="N76" i="46"/>
  <c r="E143" i="46"/>
  <c r="D72" i="47" s="1"/>
  <c r="E26" i="46"/>
  <c r="E126" i="46"/>
  <c r="D65" i="47" s="1"/>
  <c r="E24" i="46"/>
  <c r="H23" i="46"/>
  <c r="I23" i="46"/>
  <c r="E23" i="46"/>
  <c r="G23" i="46"/>
  <c r="F23" i="46"/>
  <c r="I88" i="46"/>
  <c r="H55" i="47" s="1"/>
  <c r="H88" i="46"/>
  <c r="G55" i="47" s="1"/>
  <c r="F88" i="46"/>
  <c r="E88" i="46"/>
  <c r="D55" i="47" s="1"/>
  <c r="G88" i="46"/>
  <c r="H82" i="46"/>
  <c r="G54" i="47" s="1"/>
  <c r="F82" i="46"/>
  <c r="E54" i="47" s="1"/>
  <c r="I82" i="46"/>
  <c r="H54" i="47" s="1"/>
  <c r="G82" i="46"/>
  <c r="F54" i="47" s="1"/>
  <c r="E119" i="46"/>
  <c r="D62" i="47" s="1"/>
  <c r="H126" i="46"/>
  <c r="H22" i="47"/>
  <c r="I119" i="46"/>
  <c r="G119" i="46"/>
  <c r="F62" i="47" s="1"/>
  <c r="G126" i="46"/>
  <c r="F65" i="47" s="1"/>
  <c r="F22" i="47"/>
  <c r="F47" i="47"/>
  <c r="I126" i="46"/>
  <c r="H65" i="47" s="1"/>
  <c r="H119" i="46"/>
  <c r="G62" i="47" s="1"/>
  <c r="E22" i="47"/>
  <c r="F119" i="46"/>
  <c r="E62" i="47" s="1"/>
  <c r="E82" i="46"/>
  <c r="D54" i="47" s="1"/>
  <c r="G22" i="47"/>
  <c r="E23" i="42"/>
  <c r="D22" i="47"/>
  <c r="G69" i="47"/>
  <c r="H48" i="47"/>
  <c r="F69" i="47"/>
  <c r="E69" i="47"/>
  <c r="H16" i="56" l="1"/>
  <c r="G56" i="56"/>
  <c r="L26" i="46"/>
  <c r="F126" i="46"/>
  <c r="E65" i="47" s="1"/>
  <c r="F13" i="56"/>
  <c r="I16" i="56"/>
  <c r="F16" i="56"/>
  <c r="I50" i="56"/>
  <c r="I12" i="56"/>
  <c r="E50" i="56"/>
  <c r="E12" i="56"/>
  <c r="H50" i="56"/>
  <c r="H12" i="56"/>
  <c r="F50" i="56"/>
  <c r="F12" i="56"/>
  <c r="G50" i="56"/>
  <c r="G12" i="56"/>
  <c r="I13" i="56"/>
  <c r="E50" i="46"/>
  <c r="D47" i="47" s="1"/>
  <c r="E12" i="46"/>
  <c r="F50" i="46"/>
  <c r="E47" i="47" s="1"/>
  <c r="F12" i="46"/>
  <c r="I50" i="46"/>
  <c r="H47" i="47" s="1"/>
  <c r="I12" i="46"/>
  <c r="H50" i="46"/>
  <c r="G47" i="47" s="1"/>
  <c r="H12" i="46"/>
  <c r="H143" i="46"/>
  <c r="G72" i="47" s="1"/>
  <c r="I24" i="56"/>
  <c r="P142" i="56"/>
  <c r="M142" i="56"/>
  <c r="E26" i="56"/>
  <c r="G26" i="56"/>
  <c r="O26" i="46"/>
  <c r="O27" i="46" s="1"/>
  <c r="F126" i="56"/>
  <c r="L142" i="56"/>
  <c r="E126" i="56"/>
  <c r="M143" i="46"/>
  <c r="G26" i="46"/>
  <c r="O26" i="56"/>
  <c r="O27" i="56" s="1"/>
  <c r="G31" i="47" s="1"/>
  <c r="F142" i="56"/>
  <c r="N26" i="46"/>
  <c r="N27" i="46" s="1"/>
  <c r="G24" i="56"/>
  <c r="P26" i="46"/>
  <c r="P27" i="46" s="1"/>
  <c r="I143" i="46"/>
  <c r="H72" i="47" s="1"/>
  <c r="N26" i="56"/>
  <c r="N27" i="56" s="1"/>
  <c r="F31" i="47" s="1"/>
  <c r="F143" i="46"/>
  <c r="E72" i="47" s="1"/>
  <c r="H142" i="56"/>
  <c r="H24" i="56"/>
  <c r="I26" i="56"/>
  <c r="M27" i="46"/>
  <c r="L27" i="46"/>
  <c r="L27" i="56"/>
  <c r="D31" i="47" s="1"/>
  <c r="M27" i="56"/>
  <c r="E31" i="47" s="1"/>
  <c r="P27" i="56"/>
  <c r="H31" i="47" s="1"/>
  <c r="N126" i="56"/>
  <c r="F24" i="47"/>
  <c r="F23" i="47"/>
  <c r="D23" i="47"/>
  <c r="D24" i="47"/>
  <c r="G23" i="47"/>
  <c r="G24" i="47"/>
  <c r="H23" i="47"/>
  <c r="H24" i="47"/>
  <c r="E24" i="47"/>
  <c r="E23" i="47"/>
  <c r="H62" i="47"/>
  <c r="E55" i="47"/>
  <c r="F55" i="47"/>
  <c r="G65" i="47"/>
  <c r="H37" i="47" l="1"/>
  <c r="H38" i="47" s="1"/>
  <c r="F37" i="47"/>
  <c r="G37" i="47"/>
  <c r="G38" i="47" s="1"/>
  <c r="D37" i="47"/>
  <c r="D39" i="47" s="1"/>
  <c r="E37" i="47"/>
  <c r="E38" i="47" s="1"/>
  <c r="H32" i="47" l="1"/>
  <c r="H33" i="47"/>
  <c r="G39" i="47"/>
  <c r="H39" i="47"/>
  <c r="F38" i="47"/>
  <c r="F32" i="47"/>
  <c r="D32" i="47"/>
  <c r="D33" i="47"/>
  <c r="G33" i="47"/>
  <c r="G32" i="47"/>
  <c r="E39" i="47"/>
  <c r="F39" i="47"/>
  <c r="F33" i="47"/>
  <c r="E32" i="47"/>
  <c r="D38" i="47"/>
  <c r="E33" i="47"/>
  <c r="D10" i="46" l="1"/>
  <c r="F37" i="46"/>
  <c r="E45" i="47" s="1"/>
  <c r="I10" i="46"/>
  <c r="I37" i="46"/>
  <c r="H45" i="47" s="1"/>
  <c r="H10" i="46"/>
  <c r="E10" i="46"/>
  <c r="E37" i="46"/>
  <c r="D45" i="47" s="1"/>
  <c r="H37" i="46"/>
  <c r="G45" i="47" s="1"/>
  <c r="G10" i="46"/>
  <c r="G37" i="46"/>
  <c r="F45" i="47" s="1"/>
  <c r="F1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sharedStrings.xml><?xml version="1.0" encoding="utf-8"?>
<sst xmlns="http://schemas.openxmlformats.org/spreadsheetml/2006/main" count="2488" uniqueCount="1134">
  <si>
    <t>Putting NICE guidance into practice</t>
  </si>
  <si>
    <t>Resource impact template:</t>
  </si>
  <si>
    <t>Specialty area</t>
  </si>
  <si>
    <t>Cancer</t>
  </si>
  <si>
    <t>Disease area</t>
  </si>
  <si>
    <t>Pathway position</t>
  </si>
  <si>
    <t>Administration method</t>
  </si>
  <si>
    <t>Provider</t>
  </si>
  <si>
    <t>Secondary care - acute</t>
  </si>
  <si>
    <t>Commissioner</t>
  </si>
  <si>
    <t>NHS England</t>
  </si>
  <si>
    <t>Programme budget category</t>
  </si>
  <si>
    <t>Implementation period</t>
  </si>
  <si>
    <t>90 days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</si>
  <si>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</si>
  <si>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</si>
  <si>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</si>
  <si>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</si>
  <si>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</si>
  <si>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</si>
  <si>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</si>
  <si>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</si>
  <si>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</si>
  <si>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</si>
  <si>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</si>
  <si>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</si>
  <si>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</si>
  <si>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</si>
  <si>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</si>
  <si>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</si>
  <si>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</si>
  <si>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</si>
  <si>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</si>
  <si>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</si>
  <si>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</si>
  <si>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</si>
  <si>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</si>
  <si>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</si>
  <si>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</si>
  <si>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</si>
  <si>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</si>
  <si>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</si>
  <si>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</si>
  <si>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</si>
  <si>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</si>
  <si>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</si>
  <si>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</si>
  <si>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</si>
  <si>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</si>
  <si>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</si>
  <si>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</si>
  <si>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</si>
  <si>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</si>
  <si>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</si>
  <si>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</si>
  <si>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</si>
  <si>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2026/27</t>
    </r>
  </si>
  <si>
    <t>Expert opinion from NHSE&amp;I</t>
  </si>
  <si>
    <t>Eligible population for second line treatment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</si>
  <si>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</si>
  <si>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</si>
  <si>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</si>
  <si>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</si>
  <si>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</si>
  <si>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</si>
  <si>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</si>
  <si>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</si>
  <si>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</si>
  <si>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</si>
  <si>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</si>
  <si>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day(s)</t>
  </si>
  <si>
    <t>cycles year 1</t>
  </si>
  <si>
    <t>cycles year 2</t>
  </si>
  <si>
    <t>cycles year 3</t>
  </si>
  <si>
    <t>cycles year 4</t>
  </si>
  <si>
    <t>cycles year 5</t>
  </si>
  <si>
    <t>total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</si>
  <si>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</si>
  <si>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</si>
  <si>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</si>
  <si>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</si>
  <si>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</si>
  <si>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</si>
  <si>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</si>
  <si>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</si>
  <si>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</si>
  <si>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</si>
  <si>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</si>
  <si>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</si>
  <si>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</si>
  <si>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</si>
  <si>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</si>
  <si>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</si>
  <si>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</si>
  <si>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</si>
  <si>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</si>
  <si>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</si>
  <si>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scheduling</t>
  </si>
  <si>
    <t>Number of first attendances</t>
  </si>
  <si>
    <t>per patient per visit</t>
  </si>
  <si>
    <t>Number of follow up attendances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</si>
  <si>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</si>
  <si>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</si>
  <si>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</si>
  <si>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</si>
  <si>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</si>
  <si>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Band 5 Mid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</si>
  <si>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</si>
  <si>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</si>
  <si>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</si>
  <si>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</si>
  <si>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</si>
  <si>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</si>
  <si>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 xml:space="preserve">Medical </t>
  </si>
  <si>
    <t>Appointments with specialist</t>
  </si>
  <si>
    <t>per patient/yr</t>
  </si>
  <si>
    <t>Consultant mid</t>
  </si>
  <si>
    <t>pathology / diagnostics / radiology</t>
  </si>
  <si>
    <t>Band 6 Mid</t>
  </si>
  <si>
    <t>Adverse events</t>
  </si>
  <si>
    <t>Notes</t>
  </si>
  <si>
    <t>Preparation time before administration based on expert clinical opinion.  Band 7 nurse</t>
  </si>
  <si>
    <t>Appointments with specialist based on expert clinical opinion.  Clinical Oncologist</t>
  </si>
  <si>
    <t>Adverse events rates driven by inputs in blue cells on unit costs worksheet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</si>
  <si>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</si>
  <si>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</si>
  <si>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</si>
  <si>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</si>
  <si>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</si>
  <si>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</si>
  <si>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</si>
  <si>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</si>
  <si>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</si>
  <si>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</si>
  <si>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</si>
  <si>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</si>
  <si>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Unit costs</t>
  </si>
  <si>
    <t>Review the data in each blue cell below.  Enter a local value or leave NICE standard assumptions.</t>
  </si>
  <si>
    <t>Drug cost workings</t>
  </si>
  <si>
    <t>Regimen</t>
  </si>
  <si>
    <t>Drug name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</si>
  <si>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</si>
  <si>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</si>
  <si>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</si>
  <si>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</si>
  <si>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(days)</t>
  </si>
  <si>
    <t>Product size</t>
  </si>
  <si>
    <t>Pack type</t>
  </si>
  <si>
    <t>Quantity</t>
  </si>
  <si>
    <t>Strength (mg)</t>
  </si>
  <si>
    <t>Total contents (mg)</t>
  </si>
  <si>
    <t xml:space="preserve">Cost </t>
  </si>
  <si>
    <t>Cycles</t>
  </si>
  <si>
    <t>Admin method</t>
  </si>
  <si>
    <t>VAT rate</t>
  </si>
  <si>
    <t>Annual cost</t>
  </si>
  <si>
    <t>n/a</t>
  </si>
  <si>
    <t>All components</t>
  </si>
  <si>
    <t>https://www.england.nhs.uk/pay-syst/national-tariff/national-tariff-payment-system/#National-Tariff-Payment-System</t>
  </si>
  <si>
    <t>Administrations</t>
  </si>
  <si>
    <t>Treatment option</t>
  </si>
  <si>
    <t>HRG code</t>
  </si>
  <si>
    <t>HRG description</t>
  </si>
  <si>
    <t>Tariff</t>
  </si>
  <si>
    <t xml:space="preserve">National  </t>
  </si>
  <si>
    <t xml:space="preserve">prices </t>
  </si>
  <si>
    <t>are</t>
  </si>
  <si>
    <t>used</t>
  </si>
  <si>
    <t>on the</t>
  </si>
  <si>
    <t>all options</t>
  </si>
  <si>
    <t>WF01A</t>
  </si>
  <si>
    <t>Follow Up Attendance - Single Professional.  TFC 370 medical oncology</t>
  </si>
  <si>
    <t>left.</t>
  </si>
  <si>
    <t>Local</t>
  </si>
  <si>
    <t>prices</t>
  </si>
  <si>
    <t xml:space="preserve">can be 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</si>
  <si>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</si>
  <si>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</si>
  <si>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</si>
  <si>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</si>
  <si>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</si>
  <si>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</si>
  <si>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</si>
  <si>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</si>
  <si>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Adverse events, annual costs and rates</t>
  </si>
  <si>
    <t>national prices</t>
  </si>
  <si>
    <t>local prices</t>
  </si>
  <si>
    <t>Event</t>
  </si>
  <si>
    <t>Unit cost (£) 
national prices</t>
  </si>
  <si>
    <t>Unit cost (£) local prices</t>
  </si>
  <si>
    <t>Anaemia</t>
  </si>
  <si>
    <t>Thrombocytopenia</t>
  </si>
  <si>
    <t>Amend data in blue cells locally where necessary.</t>
  </si>
  <si>
    <t>Estimated number of administrations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</si>
  <si>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</si>
  <si>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</si>
  <si>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</si>
  <si>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</si>
  <si>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</si>
  <si>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</si>
  <si>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</si>
  <si>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</si>
  <si>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</si>
  <si>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</si>
  <si>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</si>
  <si>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</si>
  <si>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</si>
  <si>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</si>
  <si>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</si>
  <si>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</si>
  <si>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</si>
  <si>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</t>
  </si>
  <si>
    <t>Follow up attendances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</si>
  <si>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</si>
  <si>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</si>
  <si>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</si>
  <si>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</si>
  <si>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</si>
  <si>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</si>
  <si>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</si>
  <si>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</si>
  <si>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</si>
  <si>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</si>
  <si>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</si>
  <si>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oncology medical staffing</t>
  </si>
  <si>
    <t>Appointments with specialist - change</t>
  </si>
  <si>
    <t>Capacity impact on pathology/ radiology /diagnostics</t>
  </si>
  <si>
    <t>Capacity impact due to adverse events</t>
  </si>
  <si>
    <t>Adverse events, various (cases) - change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</si>
  <si>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</si>
  <si>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</si>
  <si>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</si>
  <si>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</si>
  <si>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</si>
  <si>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</si>
  <si>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</si>
  <si>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</si>
  <si>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</si>
  <si>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</si>
  <si>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</si>
  <si>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</si>
  <si>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</si>
  <si>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</si>
  <si>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</si>
  <si>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</si>
  <si>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</si>
  <si>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</si>
  <si>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</si>
  <si>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</si>
  <si>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</si>
  <si>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</si>
  <si>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</si>
  <si>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</si>
  <si>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</si>
  <si>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</si>
  <si>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</si>
  <si>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</si>
  <si>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</si>
  <si>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</si>
  <si>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</si>
  <si>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</si>
  <si>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</si>
  <si>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</si>
  <si>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</si>
  <si>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</si>
  <si>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</si>
  <si>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</si>
  <si>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</si>
  <si>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</si>
  <si>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</si>
  <si>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</si>
  <si>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</si>
  <si>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</si>
  <si>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</si>
  <si>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</si>
  <si>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</si>
  <si>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</si>
  <si>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</si>
  <si>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</si>
  <si>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</si>
  <si>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</si>
  <si>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</si>
  <si>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</si>
  <si>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</si>
  <si>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</si>
  <si>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</si>
  <si>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</si>
  <si>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</si>
  <si>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</si>
  <si>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</si>
  <si>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</si>
  <si>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</si>
  <si>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</si>
  <si>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</si>
  <si>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</si>
  <si>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</si>
  <si>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</si>
  <si>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</si>
  <si>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</si>
  <si>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</si>
  <si>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</si>
  <si>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</si>
  <si>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</si>
  <si>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</si>
  <si>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</si>
  <si>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</si>
  <si>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</si>
  <si>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</si>
  <si>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</si>
  <si>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</si>
  <si>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</si>
  <si>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</si>
  <si>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</si>
  <si>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</si>
  <si>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</si>
  <si>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</si>
  <si>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</si>
  <si>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</si>
  <si>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</si>
  <si>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</si>
  <si>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</si>
  <si>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</si>
  <si>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</si>
  <si>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</si>
  <si>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</si>
  <si>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</si>
  <si>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</si>
  <si>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</si>
  <si>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</si>
  <si>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</si>
  <si>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</si>
  <si>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</si>
  <si>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</si>
  <si>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</si>
  <si>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</si>
  <si>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</si>
  <si>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</si>
  <si>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</si>
  <si>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</si>
  <si>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</si>
  <si>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</si>
  <si>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</si>
  <si>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</si>
  <si>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</si>
  <si>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</si>
  <si>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</si>
  <si>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</si>
  <si>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</si>
  <si>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</si>
  <si>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</si>
  <si>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</si>
  <si>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</si>
  <si>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</si>
  <si>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</si>
  <si>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</si>
  <si>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</si>
  <si>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</si>
  <si>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</si>
  <si>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</si>
  <si>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</si>
  <si>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</si>
  <si>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</si>
  <si>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</si>
  <si>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</si>
  <si>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</si>
  <si>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</si>
  <si>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</si>
  <si>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</si>
  <si>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</si>
  <si>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</si>
  <si>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</si>
  <si>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</si>
  <si>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</si>
  <si>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</si>
  <si>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</si>
  <si>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</si>
  <si>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</si>
  <si>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</si>
  <si>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</si>
  <si>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</si>
  <si>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</si>
  <si>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</si>
  <si>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</si>
  <si>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</si>
  <si>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</si>
  <si>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</si>
  <si>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</si>
  <si>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</si>
  <si>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</si>
  <si>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</si>
  <si>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</si>
  <si>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</si>
  <si>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</si>
  <si>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</si>
  <si>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</si>
  <si>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</si>
  <si>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</si>
  <si>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</si>
  <si>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</si>
  <si>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</si>
  <si>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</si>
  <si>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</si>
  <si>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</si>
  <si>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</si>
  <si>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</si>
  <si>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</si>
  <si>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</si>
  <si>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</si>
  <si>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</si>
  <si>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</si>
  <si>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</si>
  <si>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</si>
  <si>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</si>
  <si>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</si>
  <si>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</si>
  <si>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</si>
  <si>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</si>
  <si>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</si>
  <si>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</si>
  <si>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</si>
  <si>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</si>
  <si>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</si>
  <si>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</si>
  <si>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</si>
  <si>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</si>
  <si>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</si>
  <si>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</si>
  <si>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</si>
  <si>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</si>
  <si>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</si>
  <si>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</si>
  <si>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</si>
  <si>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</si>
  <si>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</si>
  <si>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</si>
  <si>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</si>
  <si>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</si>
  <si>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</si>
  <si>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</si>
  <si>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</si>
  <si>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</si>
  <si>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</si>
  <si>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</si>
  <si>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</si>
  <si>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</si>
  <si>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</si>
  <si>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</si>
  <si>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</si>
  <si>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</si>
  <si>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</si>
  <si>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</si>
  <si>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</si>
  <si>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</si>
  <si>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</si>
  <si>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</si>
  <si>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</si>
  <si>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</si>
  <si>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</si>
  <si>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</si>
  <si>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</si>
  <si>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</si>
  <si>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</si>
  <si>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</si>
  <si>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</si>
  <si>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</si>
  <si>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</si>
  <si>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</si>
  <si>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</si>
  <si>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</si>
  <si>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</si>
  <si>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</si>
  <si>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</si>
  <si>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</si>
  <si>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</si>
  <si>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</si>
  <si>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</si>
  <si>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</si>
  <si>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</si>
  <si>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</si>
  <si>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</si>
  <si>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</si>
  <si>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</si>
  <si>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</si>
  <si>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</si>
  <si>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</si>
  <si>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</si>
  <si>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</si>
  <si>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</si>
  <si>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</si>
  <si>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</si>
  <si>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</si>
  <si>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</si>
  <si>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</si>
  <si>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</si>
  <si>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</si>
  <si>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</si>
  <si>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</si>
  <si>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</si>
  <si>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</si>
  <si>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</si>
  <si>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</si>
  <si>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</si>
  <si>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</si>
  <si>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</si>
  <si>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</si>
  <si>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</si>
  <si>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</si>
  <si>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</si>
  <si>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</si>
  <si>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</si>
  <si>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</si>
  <si>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</si>
  <si>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</si>
  <si>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</si>
  <si>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</si>
  <si>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</si>
  <si>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</si>
  <si>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</si>
  <si>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</si>
  <si>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</si>
  <si>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</si>
  <si>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</si>
  <si>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</si>
  <si>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</si>
  <si>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</si>
  <si>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</si>
  <si>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</si>
  <si>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</si>
  <si>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</si>
  <si>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</si>
  <si>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</si>
  <si>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</si>
  <si>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</si>
  <si>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</si>
  <si>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</si>
  <si>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</si>
  <si>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</si>
  <si>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</si>
  <si>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</si>
  <si>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</si>
  <si>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</si>
  <si>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</si>
  <si>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</si>
  <si>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</si>
  <si>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</si>
  <si>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</si>
  <si>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</si>
  <si>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</si>
  <si>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</si>
  <si>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</si>
  <si>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</si>
  <si>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</si>
  <si>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</si>
  <si>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</si>
  <si>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</si>
  <si>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</si>
  <si>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</si>
  <si>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</si>
  <si>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</si>
  <si>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</si>
  <si>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</si>
  <si>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</si>
  <si>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</si>
  <si>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</si>
  <si>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</si>
  <si>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</si>
  <si>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</si>
  <si>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</si>
  <si>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</si>
  <si>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</si>
  <si>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</si>
  <si>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</si>
  <si>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</si>
  <si>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</si>
  <si>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</si>
  <si>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</si>
  <si>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</si>
  <si>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</si>
  <si>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</si>
  <si>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</si>
  <si>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</si>
  <si>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</si>
  <si>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</si>
  <si>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</si>
  <si>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</si>
  <si>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</si>
  <si>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</si>
  <si>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</si>
  <si>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</si>
  <si>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</si>
  <si>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</si>
  <si>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</si>
  <si>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</si>
  <si>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</si>
  <si>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</si>
  <si>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</si>
  <si>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</si>
  <si>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</si>
  <si>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</si>
  <si>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</si>
  <si>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</si>
  <si>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</si>
  <si>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</si>
  <si>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</si>
  <si>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</si>
  <si>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</si>
  <si>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</si>
  <si>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</si>
  <si>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</si>
  <si>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</si>
  <si>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</si>
  <si>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</si>
  <si>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</si>
  <si>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</si>
  <si>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</si>
  <si>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</si>
  <si>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</si>
  <si>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</si>
  <si>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</si>
  <si>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</si>
  <si>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</si>
  <si>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</si>
  <si>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</si>
  <si>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</si>
  <si>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</si>
  <si>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</si>
  <si>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</si>
  <si>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</si>
  <si>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</si>
  <si>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</si>
  <si>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</si>
  <si>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</si>
  <si>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</si>
  <si>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</si>
  <si>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</si>
  <si>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</si>
  <si>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</si>
  <si>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</si>
  <si>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</si>
  <si>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</si>
  <si>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</si>
  <si>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</si>
  <si>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</si>
  <si>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</si>
  <si>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</si>
  <si>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</si>
  <si>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</si>
  <si>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</si>
  <si>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</si>
  <si>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</si>
  <si>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</si>
  <si>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</si>
  <si>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</si>
  <si>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</si>
  <si>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</si>
  <si>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</si>
  <si>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</si>
  <si>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</si>
  <si>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</si>
  <si>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</si>
  <si>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</si>
  <si>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</si>
  <si>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</si>
  <si>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</si>
  <si>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</si>
  <si>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</si>
  <si>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</si>
  <si>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</si>
  <si>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</si>
  <si>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</si>
  <si>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</si>
  <si>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</si>
  <si>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</si>
  <si>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</si>
  <si>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</si>
  <si>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</si>
  <si>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</si>
  <si>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</si>
  <si>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</si>
  <si>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</si>
  <si>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</si>
  <si>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</si>
  <si>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</si>
  <si>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</si>
  <si>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</si>
  <si>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</si>
  <si>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</si>
  <si>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</si>
  <si>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</si>
  <si>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</si>
  <si>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</si>
  <si>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</si>
  <si>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</si>
  <si>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</si>
  <si>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</si>
  <si>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</si>
  <si>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</si>
  <si>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</si>
  <si>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</si>
  <si>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</si>
  <si>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</si>
  <si>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</si>
  <si>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</si>
  <si>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</si>
  <si>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</si>
  <si>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</si>
  <si>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</si>
  <si>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</si>
  <si>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</si>
  <si>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</si>
  <si>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</si>
  <si>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</si>
  <si>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</si>
  <si>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</si>
  <si>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</si>
  <si>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</si>
  <si>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</si>
  <si>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</si>
  <si>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</si>
  <si>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</si>
  <si>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</si>
  <si>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</si>
  <si>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</si>
  <si>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</si>
  <si>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</si>
  <si>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</si>
  <si>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</si>
  <si>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</si>
  <si>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</si>
  <si>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</si>
  <si>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</si>
  <si>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</si>
  <si>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</si>
  <si>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</si>
  <si>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</si>
  <si>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</si>
  <si>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</si>
  <si>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</si>
  <si>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</si>
  <si>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</si>
  <si>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</si>
  <si>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</si>
  <si>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</si>
  <si>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</si>
  <si>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</si>
  <si>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</si>
  <si>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</si>
  <si>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</si>
  <si>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</si>
  <si>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</si>
  <si>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</si>
  <si>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</si>
  <si>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</si>
  <si>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</si>
  <si>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</si>
  <si>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</si>
  <si>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</si>
  <si>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</si>
  <si>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</si>
  <si>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</si>
  <si>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</si>
  <si>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</si>
  <si>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</si>
  <si>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</si>
  <si>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</si>
  <si>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</si>
  <si>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</si>
  <si>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</si>
  <si>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</si>
  <si>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</si>
  <si>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</si>
  <si>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</si>
  <si>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</si>
  <si>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</si>
  <si>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</si>
  <si>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</si>
  <si>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</si>
  <si>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</si>
  <si>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</si>
  <si>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</si>
  <si>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</si>
  <si>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</si>
  <si>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</si>
  <si>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</si>
  <si>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</si>
  <si>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</si>
  <si>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</si>
  <si>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</si>
  <si>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</si>
  <si>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</si>
  <si>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</si>
  <si>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</si>
  <si>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</si>
  <si>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</si>
  <si>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</si>
  <si>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</si>
  <si>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</si>
  <si>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</si>
  <si>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</si>
  <si>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</si>
  <si>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</si>
  <si>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</si>
  <si>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</si>
  <si>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</si>
  <si>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</si>
  <si>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</si>
  <si>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</si>
  <si>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</si>
  <si>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</si>
  <si>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</si>
  <si>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</si>
  <si>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</si>
  <si>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</si>
  <si>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</si>
  <si>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</si>
  <si>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</si>
  <si>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</si>
  <si>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</si>
  <si>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</si>
  <si>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</si>
  <si>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</si>
  <si>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</si>
  <si>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</si>
  <si>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</si>
  <si>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</si>
  <si>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</si>
  <si>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</si>
  <si>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</si>
  <si>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</si>
  <si>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</si>
  <si>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</si>
  <si>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</si>
  <si>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</si>
  <si>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</si>
  <si>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</si>
  <si>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</si>
  <si>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</si>
  <si>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</si>
  <si>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</si>
  <si>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</si>
  <si>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</si>
  <si>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</si>
  <si>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</si>
  <si>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</si>
  <si>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</si>
  <si>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</si>
  <si>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</si>
  <si>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</si>
  <si>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</si>
  <si>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</si>
  <si>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</si>
  <si>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</si>
  <si>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</si>
  <si>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 xml:space="preserve">Administrations  </t>
  </si>
  <si>
    <t>Number per patient per year</t>
  </si>
  <si>
    <t>Administrations - change in number of attendances current practice</t>
  </si>
  <si>
    <t>Administrations - method of</t>
  </si>
  <si>
    <t>Administrations - change in volume of IV to current practice</t>
  </si>
  <si>
    <t>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</si>
  <si>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</si>
  <si>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</si>
  <si>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</si>
  <si>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</si>
  <si>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</si>
  <si>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</si>
  <si>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</si>
  <si>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</si>
  <si>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</si>
  <si>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</si>
  <si>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</si>
  <si>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</si>
  <si>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</si>
  <si>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</si>
  <si>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</si>
  <si>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</si>
  <si>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</si>
  <si>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</si>
  <si>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</si>
  <si>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Oncology medical staffing</t>
  </si>
  <si>
    <t>Appointments with specialist - change to current practice</t>
  </si>
  <si>
    <t>Pathology/ radiology/ diagnostics</t>
  </si>
  <si>
    <t>Adverse events, various (cases)</t>
  </si>
  <si>
    <t>Adverse events - change to current practice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</si>
  <si>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</si>
  <si>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</si>
  <si>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</si>
  <si>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</si>
  <si>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</si>
  <si>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</si>
  <si>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</si>
  <si>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</si>
  <si>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</si>
  <si>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</si>
  <si>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</si>
  <si>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</si>
  <si>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</si>
  <si>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</si>
  <si>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</si>
  <si>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</si>
  <si>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</si>
  <si>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</si>
  <si>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</si>
  <si>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</si>
  <si>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</si>
  <si>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</si>
  <si>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</si>
  <si>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</si>
  <si>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</si>
  <si>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</si>
  <si>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</si>
  <si>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</si>
  <si>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</si>
  <si>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</si>
  <si>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</si>
  <si>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</si>
  <si>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</si>
  <si>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</si>
  <si>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</si>
  <si>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</si>
  <si>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</si>
  <si>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</si>
  <si>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</si>
  <si>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</si>
  <si>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</si>
  <si>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</si>
  <si>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</si>
  <si>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</si>
  <si>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</si>
  <si>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</si>
  <si>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</si>
  <si>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</si>
  <si>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</si>
  <si>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</si>
  <si>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</si>
  <si>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</si>
  <si>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</si>
  <si>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</si>
  <si>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</si>
  <si>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</si>
  <si>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</si>
  <si>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</si>
  <si>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</si>
  <si>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</si>
  <si>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</si>
  <si>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</si>
  <si>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</si>
  <si>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</si>
  <si>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</si>
  <si>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</si>
  <si>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</si>
  <si>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</si>
  <si>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</si>
  <si>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</si>
  <si>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</si>
  <si>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</si>
  <si>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</si>
  <si>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</si>
  <si>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</si>
  <si>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</si>
  <si>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</si>
  <si>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</si>
  <si>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</si>
  <si>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</si>
  <si>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</si>
  <si>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</si>
  <si>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</si>
  <si>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</si>
  <si>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</si>
  <si>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</si>
  <si>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</si>
  <si>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</si>
  <si>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</si>
  <si>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</si>
  <si>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</si>
  <si>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</si>
  <si>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</si>
  <si>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</si>
  <si>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</si>
  <si>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</si>
  <si>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</si>
  <si>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</si>
  <si>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</si>
  <si>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</si>
  <si>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</si>
  <si>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</si>
  <si>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</si>
  <si>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</si>
  <si>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</si>
  <si>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</si>
  <si>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</si>
  <si>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</si>
  <si>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</si>
  <si>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</si>
  <si>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</si>
  <si>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</si>
  <si>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</si>
  <si>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</si>
  <si>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</si>
  <si>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</si>
  <si>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</si>
  <si>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</si>
  <si>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</si>
  <si>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</si>
  <si>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</si>
  <si>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</si>
  <si>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</si>
  <si>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</si>
  <si>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</si>
  <si>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</si>
  <si>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</si>
  <si>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</si>
  <si>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</si>
  <si>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</si>
  <si>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</si>
  <si>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</si>
  <si>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</si>
  <si>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</si>
  <si>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</si>
  <si>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</si>
  <si>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</si>
  <si>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</si>
  <si>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</si>
  <si>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</si>
  <si>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</si>
  <si>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</si>
  <si>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</si>
  <si>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</si>
  <si>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</si>
  <si>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</si>
  <si>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</si>
  <si>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</si>
  <si>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</si>
  <si>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</si>
  <si>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Drugs - people receiving treatment options</t>
  </si>
  <si>
    <t>Incidence of breast cancer</t>
  </si>
  <si>
    <t>Cancer Registrations Statistics, England 2021- First release, counts only - NHS Digital, ICD C50</t>
  </si>
  <si>
    <t>Early Diagnosis (shinyapps.io)</t>
  </si>
  <si>
    <t>People with stage III or IV disease on diagnosis</t>
  </si>
  <si>
    <t>People with HER2 negative disease</t>
  </si>
  <si>
    <t>Receptors for breast cancer | Macmillan Cancer Support</t>
  </si>
  <si>
    <t>People with germline BRCA1/2 mutations</t>
  </si>
  <si>
    <t>Genetic-testing-for-BRCA-mutations-UK.pdf (healthpolicypartnership.com)</t>
  </si>
  <si>
    <t>People with stage I or II disease on diagnosis</t>
  </si>
  <si>
    <t>People with stage I or II disease who progress to stage III or IV each year</t>
  </si>
  <si>
    <t>Talazoparib, oral</t>
  </si>
  <si>
    <t>1mg capsule, 30 capsules</t>
  </si>
  <si>
    <t>Talazoparib is available with a discount to the list price that is commercial in confidence, please contact the manufacturer for the discounted price</t>
  </si>
  <si>
    <t xml:space="preserve">Talazoparib, oral, secondary care </t>
  </si>
  <si>
    <t xml:space="preserve">Talazoparib, oral, homecare </t>
  </si>
  <si>
    <t>People receiving talazoparib</t>
  </si>
  <si>
    <t>Talazoparib</t>
  </si>
  <si>
    <t>Blood monitoring</t>
  </si>
  <si>
    <t>talazoparib</t>
  </si>
  <si>
    <t>pack</t>
  </si>
  <si>
    <t>Oral</t>
  </si>
  <si>
    <t>Talazoparib (secondary care)</t>
  </si>
  <si>
    <t>Talazoparib (homecare)</t>
  </si>
  <si>
    <t>SB11Z</t>
  </si>
  <si>
    <t>SB11Z deliver exclusively oral chemotherapy</t>
  </si>
  <si>
    <t>DAPS03</t>
  </si>
  <si>
    <t>Integrated blood services</t>
  </si>
  <si>
    <t>talazoparib rate of events</t>
  </si>
  <si>
    <t>Based on 2020/21 National reference costs</t>
  </si>
  <si>
    <t xml:space="preserve">Adverse events data from company model.  </t>
  </si>
  <si>
    <t>Neutropaenia</t>
  </si>
  <si>
    <t>Duration of treatments as per mean treatment duration from trial</t>
  </si>
  <si>
    <t>Talazoparib is available with a discount to the list prices that is commercial in confidence, please contact the manufacturer for the discounted price</t>
  </si>
  <si>
    <t>Assumed secondary care / homecare split</t>
  </si>
  <si>
    <t>Secondary care</t>
  </si>
  <si>
    <t>Homecare</t>
  </si>
  <si>
    <t>Uptake talazoparib (%)</t>
  </si>
  <si>
    <t>Population receiving talazoparib each year</t>
  </si>
  <si>
    <t>People receiving talazoparib (secondary care)</t>
  </si>
  <si>
    <t>People receiving talazoparib (homecare)</t>
  </si>
  <si>
    <t>Administrations - change in volume of oral to current practice</t>
  </si>
  <si>
    <t xml:space="preserve">People receiving talazoparib </t>
  </si>
  <si>
    <t>Talazoparib for treating HER2-negative advanced breast cancer with germline BRCA mutations</t>
  </si>
  <si>
    <t xml:space="preserve">Talazoparib for treating HER2-negative advanced </t>
  </si>
  <si>
    <t>breast cancer with germline BRCA mutations</t>
  </si>
  <si>
    <t>Published: February 2024</t>
  </si>
  <si>
    <t>Breast</t>
  </si>
  <si>
    <t>02F cancer, breast</t>
  </si>
  <si>
    <t xml:space="preserve">        national prices</t>
  </si>
  <si>
    <t xml:space="preserve">            local prices</t>
  </si>
  <si>
    <t>Rates of adverse events and costs, based on company estimates. Grade 3 adverse events.</t>
  </si>
  <si>
    <t>Based on 2023/25 NHS Payment Scheme: 2023/24 prices workbook, with prices revised to reflect 2023/24 pay awards</t>
  </si>
  <si>
    <t xml:space="preserve">Unit costs, local prices are entered as indicative values.  Values are 80% of national prices representing the costs without overheads.  Amend locally. </t>
  </si>
  <si>
    <t xml:space="preserve">This technology is a new treatment option and is not expected to displace existing therapies but delay their use.
</t>
  </si>
  <si>
    <t>It is anticipated that around 50% of talazoparib will be dispensed in secondary care and 50% via homecare.</t>
  </si>
  <si>
    <t xml:space="preserve">Talazoparib carries an elevated risk of blood cell deficiencies in the form of anaemia,  neutropaenia and thrombocytopenia. </t>
  </si>
  <si>
    <t>Current, 
year 0</t>
  </si>
  <si>
    <t>Administrations - hospital based</t>
  </si>
  <si>
    <t xml:space="preserve">Administrations - homecare </t>
  </si>
  <si>
    <t>Assumed cost to pharmacy of administration of homecare service</t>
  </si>
  <si>
    <t>Pharmacy cost to administer homecare service</t>
  </si>
  <si>
    <t>Administrations - change in volume of hospital based administrations to current practice</t>
  </si>
  <si>
    <t>Administrations - change in volume of homecare based administrations to current practice</t>
  </si>
  <si>
    <t>Administrations - oral</t>
  </si>
  <si>
    <t>Blood monitoring - change in number to current practice</t>
  </si>
  <si>
    <t xml:space="preserve">Market share estimates are as per NHS England </t>
  </si>
  <si>
    <t>Adverse events, various (rate of cases split by type on unit costs tab)</t>
  </si>
  <si>
    <t>Blood tests</t>
  </si>
  <si>
    <t>Oral drug so assumed no admin time.</t>
  </si>
  <si>
    <t>Cycles assumed to be one year</t>
  </si>
  <si>
    <t>Pharmacy time, drug regimen prep is for illustration only, please amend locally.  Band 8a pharmacist</t>
  </si>
  <si>
    <t>Administrations - number of cycles</t>
  </si>
  <si>
    <t>on the average of HRG SA12G-SA12K and represent the price of treatment up to and including platelet transfusion Neutropaenia cost is based on a company estimate of the cost of immune boosting drugs.</t>
  </si>
  <si>
    <t>For anaemia, a dose reduction/delay may be initiated.  Amend rates of events locally according to local practice.</t>
  </si>
  <si>
    <t>(TA952)</t>
  </si>
  <si>
    <t>Hours above based on calculations below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</si>
  <si>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</si>
  <si>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</si>
  <si>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</si>
  <si>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</si>
  <si>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</si>
  <si>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</si>
  <si>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Weeks worked (net of annual leave/training leave)</t>
  </si>
  <si>
    <t>Sessions worked per week (4 hour sessions)</t>
  </si>
  <si>
    <t>Less SPA allowance (4 hour sessions)</t>
  </si>
  <si>
    <t>Hours of clinical work per year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</si>
  <si>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</si>
  <si>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</si>
  <si>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</si>
  <si>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</si>
  <si>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</si>
  <si>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Second line treatment (after anthracycline or taxane or endocrine therapy)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</si>
  <si>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</si>
  <si>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</si>
  <si>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</si>
  <si>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Company BI submission</t>
  </si>
  <si>
    <t>Bottom, mid, top; 
band and  point on scale</t>
  </si>
  <si>
    <t>Costs (Inc. on costs)</t>
  </si>
  <si>
    <t>National prices for adverse events for anaemia are based on average of HRGs SA04G-SA04L, and represent the cost of treatment up to and including red blood cell transfusion, national price for thrombocytopenia is based</t>
  </si>
  <si>
    <t>Enter discounted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</si>
</sst>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_(* #,##0_);_(* \(#,##0\);_(* &quot;-&quot;??_);_(@_)"/>
    <numFmt numFmtId="170" formatCode="0.000%"/>
    <numFmt numFmtId="171" formatCode="0.00000%"/>
    <numFmt numFmtId="172" formatCode="0.00000000000000%"/>
  </numFmts>
  <fonts count="8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</cellStyleXfs>
  <cellXfs count="723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37" borderId="11" xfId="0" applyFont="1" applyFill="1" applyBorder="1" applyAlignment="1">
      <alignment vertical="center"/>
    </xf>
    <xf numFmtId="0" fontId="44" fillId="0" borderId="14" xfId="0" applyFont="1" applyBorder="1"/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4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5" fillId="0" borderId="0" xfId="0" applyFont="1"/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6" fillId="37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168" fontId="7" fillId="0" borderId="0" xfId="82" applyNumberFormat="1" applyFont="1"/>
    <xf numFmtId="44" fontId="7" fillId="0" borderId="0" xfId="82" applyNumberFormat="1" applyFont="1"/>
    <xf numFmtId="3" fontId="48" fillId="0" borderId="11" xfId="0" applyNumberFormat="1" applyFont="1" applyBorder="1"/>
    <xf numFmtId="165" fontId="48" fillId="0" borderId="17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0" fontId="48" fillId="24" borderId="10" xfId="0" applyFont="1" applyFill="1" applyBorder="1"/>
    <xf numFmtId="3" fontId="48" fillId="24" borderId="11" xfId="0" applyNumberFormat="1" applyFont="1" applyFill="1" applyBorder="1"/>
    <xf numFmtId="165" fontId="48" fillId="24" borderId="11" xfId="0" applyNumberFormat="1" applyFont="1" applyFill="1" applyBorder="1"/>
    <xf numFmtId="165" fontId="48" fillId="24" borderId="20" xfId="0" applyNumberFormat="1" applyFont="1" applyFill="1" applyBorder="1"/>
    <xf numFmtId="165" fontId="48" fillId="24" borderId="17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60" fillId="0" borderId="0" xfId="72" applyFont="1" applyFill="1" applyAlignment="1" applyProtection="1"/>
    <xf numFmtId="0" fontId="28" fillId="0" borderId="0" xfId="82" applyFont="1" applyAlignment="1">
      <alignment vertical="top"/>
    </xf>
    <xf numFmtId="0" fontId="50" fillId="25" borderId="0" xfId="82" applyFont="1" applyFill="1" applyAlignment="1">
      <alignment horizontal="left"/>
    </xf>
    <xf numFmtId="0" fontId="50" fillId="0" borderId="0" xfId="82" applyFont="1" applyAlignment="1">
      <alignment vertical="top"/>
    </xf>
    <xf numFmtId="165" fontId="48" fillId="0" borderId="11" xfId="56" applyNumberFormat="1" applyFont="1" applyBorder="1"/>
    <xf numFmtId="0" fontId="0" fillId="0" borderId="20" xfId="0" applyBorder="1"/>
    <xf numFmtId="0" fontId="61" fillId="0" borderId="0" xfId="0" applyFont="1"/>
    <xf numFmtId="0" fontId="50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42" fillId="43" borderId="17" xfId="0" applyFont="1" applyFill="1" applyBorder="1"/>
    <xf numFmtId="0" fontId="42" fillId="43" borderId="0" xfId="0" applyFont="1" applyFill="1"/>
    <xf numFmtId="0" fontId="42" fillId="41" borderId="17" xfId="0" applyFont="1" applyFill="1" applyBorder="1"/>
    <xf numFmtId="0" fontId="42" fillId="41" borderId="0" xfId="0" applyFont="1" applyFill="1"/>
    <xf numFmtId="0" fontId="42" fillId="44" borderId="17" xfId="0" applyFont="1" applyFill="1" applyBorder="1"/>
    <xf numFmtId="0" fontId="42" fillId="44" borderId="0" xfId="0" applyFont="1" applyFill="1"/>
    <xf numFmtId="0" fontId="42" fillId="42" borderId="17" xfId="0" applyFont="1" applyFill="1" applyBorder="1"/>
    <xf numFmtId="0" fontId="42" fillId="42" borderId="0" xfId="0" applyFont="1" applyFill="1"/>
    <xf numFmtId="0" fontId="42" fillId="31" borderId="17" xfId="0" applyFont="1" applyFill="1" applyBorder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5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52" fillId="0" borderId="0" xfId="82" applyFont="1"/>
    <xf numFmtId="0" fontId="42" fillId="0" borderId="0" xfId="82" applyFont="1"/>
    <xf numFmtId="0" fontId="50" fillId="24" borderId="0" xfId="82" applyFont="1" applyFill="1"/>
    <xf numFmtId="0" fontId="52" fillId="24" borderId="11" xfId="82" applyFont="1" applyFill="1" applyBorder="1" applyAlignment="1">
      <alignment horizontal="center"/>
    </xf>
    <xf numFmtId="0" fontId="50" fillId="0" borderId="0" xfId="82" applyFont="1"/>
    <xf numFmtId="0" fontId="52" fillId="24" borderId="12" xfId="82" applyFont="1" applyFill="1" applyBorder="1" applyAlignment="1">
      <alignment horizontal="center"/>
    </xf>
    <xf numFmtId="0" fontId="52" fillId="24" borderId="11" xfId="82" applyFont="1" applyFill="1" applyBorder="1" applyAlignment="1">
      <alignment horizontal="center" wrapText="1"/>
    </xf>
    <xf numFmtId="0" fontId="52" fillId="24" borderId="17" xfId="82" applyFont="1" applyFill="1" applyBorder="1" applyAlignment="1">
      <alignment horizontal="center" wrapText="1"/>
    </xf>
    <xf numFmtId="0" fontId="50" fillId="0" borderId="12" xfId="82" applyFont="1" applyBorder="1"/>
    <xf numFmtId="0" fontId="50" fillId="0" borderId="17" xfId="82" applyFont="1" applyBorder="1"/>
    <xf numFmtId="0" fontId="50" fillId="0" borderId="20" xfId="82" applyFont="1" applyBorder="1"/>
    <xf numFmtId="0" fontId="52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48" fillId="24" borderId="17" xfId="82" applyFont="1" applyFill="1" applyBorder="1"/>
    <xf numFmtId="0" fontId="0" fillId="0" borderId="12" xfId="0" applyBorder="1" applyAlignment="1">
      <alignment vertical="center" wrapText="1"/>
    </xf>
    <xf numFmtId="0" fontId="48" fillId="24" borderId="12" xfId="82" applyFont="1" applyFill="1" applyBorder="1"/>
    <xf numFmtId="0" fontId="48" fillId="24" borderId="20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42" fillId="0" borderId="21" xfId="82" applyFont="1" applyBorder="1"/>
    <xf numFmtId="0" fontId="0" fillId="0" borderId="12" xfId="82" applyFont="1" applyBorder="1"/>
    <xf numFmtId="0" fontId="0" fillId="0" borderId="0" xfId="82" applyFont="1"/>
    <xf numFmtId="0" fontId="50" fillId="0" borderId="17" xfId="0" applyFont="1" applyBorder="1" applyAlignment="1">
      <alignment horizontal="left" wrapText="1"/>
    </xf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3" fontId="28" fillId="0" borderId="11" xfId="0" applyNumberFormat="1" applyFont="1" applyBorder="1"/>
    <xf numFmtId="165" fontId="28" fillId="24" borderId="15" xfId="0" applyNumberFormat="1" applyFont="1" applyFill="1" applyBorder="1" applyAlignment="1">
      <alignment horizontal="center" wrapText="1"/>
    </xf>
    <xf numFmtId="0" fontId="28" fillId="24" borderId="11" xfId="0" quotePrefix="1" applyFont="1" applyFill="1" applyBorder="1" applyAlignment="1">
      <alignment horizontal="center"/>
    </xf>
    <xf numFmtId="165" fontId="28" fillId="0" borderId="11" xfId="0" applyNumberFormat="1" applyFont="1" applyBorder="1"/>
    <xf numFmtId="0" fontId="28" fillId="24" borderId="20" xfId="0" applyFont="1" applyFill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48" fillId="24" borderId="11" xfId="0" applyFont="1" applyFill="1" applyBorder="1" applyAlignment="1">
      <alignment horizontal="left"/>
    </xf>
    <xf numFmtId="0" fontId="52" fillId="24" borderId="11" xfId="0" applyFont="1" applyFill="1" applyBorder="1" applyAlignment="1">
      <alignment horizontal="left" vertical="center" wrapText="1"/>
    </xf>
    <xf numFmtId="0" fontId="52" fillId="24" borderId="24" xfId="0" applyFont="1" applyFill="1" applyBorder="1" applyAlignment="1">
      <alignment horizontal="right" vertical="center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40" borderId="11" xfId="0" applyFill="1" applyBorder="1" applyAlignment="1">
      <alignment horizontal="center"/>
    </xf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0" fontId="0" fillId="0" borderId="17" xfId="0" applyBorder="1" applyAlignment="1">
      <alignment horizontal="left"/>
    </xf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 applyAlignment="1">
      <alignment horizontal="center"/>
    </xf>
    <xf numFmtId="164" fontId="0" fillId="41" borderId="20" xfId="0" applyNumberFormat="1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8" fillId="24" borderId="20" xfId="0" applyFont="1" applyFill="1" applyBorder="1" applyAlignment="1">
      <alignment horizontal="left"/>
    </xf>
    <xf numFmtId="0" fontId="50" fillId="0" borderId="0" xfId="0" applyFont="1" applyAlignment="1">
      <alignment horizontal="left" vertical="center"/>
    </xf>
    <xf numFmtId="0" fontId="52" fillId="40" borderId="12" xfId="0" applyFont="1" applyFill="1" applyBorder="1" applyAlignment="1">
      <alignment horizontal="left" vertical="center"/>
    </xf>
    <xf numFmtId="0" fontId="50" fillId="40" borderId="0" xfId="0" applyFont="1" applyFill="1" applyAlignment="1">
      <alignment horizontal="left" vertical="center"/>
    </xf>
    <xf numFmtId="0" fontId="52" fillId="24" borderId="17" xfId="0" applyFont="1" applyFill="1" applyBorder="1" applyAlignment="1">
      <alignment horizontal="left" vertical="center" wrapText="1"/>
    </xf>
    <xf numFmtId="0" fontId="52" fillId="43" borderId="12" xfId="0" applyFont="1" applyFill="1" applyBorder="1" applyAlignment="1">
      <alignment horizontal="left" vertical="center"/>
    </xf>
    <xf numFmtId="0" fontId="42" fillId="43" borderId="0" xfId="82" applyFont="1" applyFill="1"/>
    <xf numFmtId="0" fontId="52" fillId="41" borderId="12" xfId="0" applyFont="1" applyFill="1" applyBorder="1" applyAlignment="1">
      <alignment horizontal="left" vertical="center"/>
    </xf>
    <xf numFmtId="0" fontId="42" fillId="41" borderId="0" xfId="82" applyFont="1" applyFill="1"/>
    <xf numFmtId="0" fontId="52" fillId="44" borderId="12" xfId="0" applyFont="1" applyFill="1" applyBorder="1" applyAlignment="1">
      <alignment horizontal="left" vertical="center"/>
    </xf>
    <xf numFmtId="0" fontId="42" fillId="44" borderId="0" xfId="82" applyFont="1" applyFill="1"/>
    <xf numFmtId="0" fontId="52" fillId="42" borderId="12" xfId="0" applyFont="1" applyFill="1" applyBorder="1" applyAlignment="1">
      <alignment horizontal="left" vertical="center"/>
    </xf>
    <xf numFmtId="0" fontId="42" fillId="42" borderId="0" xfId="82" applyFont="1" applyFill="1"/>
    <xf numFmtId="0" fontId="52" fillId="31" borderId="12" xfId="0" applyFont="1" applyFill="1" applyBorder="1" applyAlignment="1">
      <alignment horizontal="left" vertical="center"/>
    </xf>
    <xf numFmtId="0" fontId="0" fillId="0" borderId="34" xfId="0" applyBorder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4" fillId="38" borderId="12" xfId="0" applyFont="1" applyFill="1" applyBorder="1" applyAlignment="1">
      <alignment horizontal="left"/>
    </xf>
    <xf numFmtId="165" fontId="42" fillId="38" borderId="20" xfId="0" applyNumberFormat="1" applyFont="1" applyFill="1" applyBorder="1" applyAlignment="1">
      <alignment wrapText="1"/>
    </xf>
    <xf numFmtId="0" fontId="42" fillId="38" borderId="20" xfId="0" applyFont="1" applyFill="1" applyBorder="1"/>
    <xf numFmtId="0" fontId="42" fillId="38" borderId="17" xfId="0" applyFont="1" applyFill="1" applyBorder="1"/>
    <xf numFmtId="0" fontId="50" fillId="0" borderId="12" xfId="0" applyFont="1" applyBorder="1" applyAlignment="1">
      <alignment horizontal="left" wrapText="1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8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9" fillId="0" borderId="0" xfId="72" applyAlignment="1" applyProtection="1"/>
    <xf numFmtId="0" fontId="68" fillId="0" borderId="0" xfId="0" applyFont="1"/>
    <xf numFmtId="9" fontId="0" fillId="0" borderId="34" xfId="0" applyNumberFormat="1" applyBorder="1" applyAlignment="1">
      <alignment horizontal="right"/>
    </xf>
    <xf numFmtId="0" fontId="52" fillId="24" borderId="17" xfId="0" applyFont="1" applyFill="1" applyBorder="1" applyAlignment="1">
      <alignment horizontal="right"/>
    </xf>
    <xf numFmtId="165" fontId="28" fillId="0" borderId="0" xfId="0" applyNumberFormat="1" applyFont="1"/>
    <xf numFmtId="10" fontId="52" fillId="0" borderId="11" xfId="92" applyNumberFormat="1" applyFont="1" applyFill="1" applyBorder="1"/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0" fontId="69" fillId="0" borderId="0" xfId="0" applyFont="1"/>
    <xf numFmtId="0" fontId="70" fillId="0" borderId="0" xfId="0" applyFont="1" applyAlignment="1">
      <alignment vertical="center" wrapText="1"/>
    </xf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73" fillId="39" borderId="1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4" fillId="45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4" fillId="0" borderId="20" xfId="0" applyFont="1" applyBorder="1"/>
    <xf numFmtId="0" fontId="48" fillId="0" borderId="17" xfId="0" applyFont="1" applyBorder="1"/>
    <xf numFmtId="0" fontId="43" fillId="37" borderId="11" xfId="0" applyFont="1" applyFill="1" applyBorder="1" applyAlignment="1">
      <alignment vertical="center" wrapText="1"/>
    </xf>
    <xf numFmtId="0" fontId="28" fillId="24" borderId="12" xfId="0" applyFont="1" applyFill="1" applyBorder="1"/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42" fillId="37" borderId="20" xfId="0" applyFont="1" applyFill="1" applyBorder="1"/>
    <xf numFmtId="0" fontId="42" fillId="37" borderId="17" xfId="0" applyFont="1" applyFill="1" applyBorder="1"/>
    <xf numFmtId="0" fontId="75" fillId="37" borderId="20" xfId="0" applyFont="1" applyFill="1" applyBorder="1" applyAlignment="1">
      <alignment horizontal="left"/>
    </xf>
    <xf numFmtId="0" fontId="0" fillId="41" borderId="17" xfId="0" applyFill="1" applyBorder="1"/>
    <xf numFmtId="0" fontId="48" fillId="40" borderId="20" xfId="0" applyFont="1" applyFill="1" applyBorder="1" applyAlignment="1">
      <alignment horizontal="left"/>
    </xf>
    <xf numFmtId="0" fontId="42" fillId="40" borderId="20" xfId="0" applyFont="1" applyFill="1" applyBorder="1"/>
    <xf numFmtId="0" fontId="48" fillId="43" borderId="12" xfId="0" applyFont="1" applyFill="1" applyBorder="1" applyAlignment="1">
      <alignment horizontal="left"/>
    </xf>
    <xf numFmtId="0" fontId="42" fillId="43" borderId="20" xfId="0" applyFont="1" applyFill="1" applyBorder="1"/>
    <xf numFmtId="0" fontId="48" fillId="43" borderId="12" xfId="0" applyFont="1" applyFill="1" applyBorder="1" applyAlignment="1">
      <alignment horizontal="left" wrapText="1"/>
    </xf>
    <xf numFmtId="0" fontId="48" fillId="44" borderId="12" xfId="0" applyFont="1" applyFill="1" applyBorder="1" applyAlignment="1">
      <alignment horizontal="left"/>
    </xf>
    <xf numFmtId="0" fontId="42" fillId="44" borderId="20" xfId="0" applyFont="1" applyFill="1" applyBorder="1"/>
    <xf numFmtId="0" fontId="48" fillId="41" borderId="12" xfId="0" applyFont="1" applyFill="1" applyBorder="1" applyAlignment="1">
      <alignment horizontal="left"/>
    </xf>
    <xf numFmtId="0" fontId="42" fillId="41" borderId="20" xfId="0" applyFont="1" applyFill="1" applyBorder="1"/>
    <xf numFmtId="0" fontId="48" fillId="42" borderId="12" xfId="0" applyFont="1" applyFill="1" applyBorder="1" applyAlignment="1">
      <alignment horizontal="left"/>
    </xf>
    <xf numFmtId="0" fontId="42" fillId="42" borderId="20" xfId="0" applyFont="1" applyFill="1" applyBorder="1"/>
    <xf numFmtId="0" fontId="48" fillId="31" borderId="12" xfId="0" applyFont="1" applyFill="1" applyBorder="1" applyAlignment="1">
      <alignment horizontal="left"/>
    </xf>
    <xf numFmtId="0" fontId="42" fillId="31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8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8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30" fillId="29" borderId="11" xfId="0" applyFont="1" applyFill="1" applyBorder="1" applyAlignment="1">
      <alignment horizontal="center" wrapText="1"/>
    </xf>
    <xf numFmtId="0" fontId="42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42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42" fillId="40" borderId="14" xfId="0" applyFont="1" applyFill="1" applyBorder="1"/>
    <xf numFmtId="0" fontId="42" fillId="43" borderId="10" xfId="0" applyFont="1" applyFill="1" applyBorder="1"/>
    <xf numFmtId="0" fontId="42" fillId="43" borderId="14" xfId="0" applyFont="1" applyFill="1" applyBorder="1"/>
    <xf numFmtId="0" fontId="42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42" fillId="41" borderId="10" xfId="0" applyFont="1" applyFill="1" applyBorder="1"/>
    <xf numFmtId="0" fontId="0" fillId="42" borderId="17" xfId="0" applyFill="1" applyBorder="1"/>
    <xf numFmtId="0" fontId="42" fillId="31" borderId="0" xfId="0" applyFont="1" applyFill="1"/>
    <xf numFmtId="0" fontId="42" fillId="31" borderId="10" xfId="0" applyFont="1" applyFill="1" applyBorder="1"/>
    <xf numFmtId="0" fontId="0" fillId="31" borderId="14" xfId="0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4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50" fillId="31" borderId="12" xfId="82" applyFont="1" applyFill="1" applyBorder="1"/>
    <xf numFmtId="3" fontId="48" fillId="43" borderId="17" xfId="0" applyNumberFormat="1" applyFont="1" applyFill="1" applyBorder="1"/>
    <xf numFmtId="3" fontId="48" fillId="44" borderId="17" xfId="0" applyNumberFormat="1" applyFont="1" applyFill="1" applyBorder="1"/>
    <xf numFmtId="3" fontId="48" fillId="41" borderId="17" xfId="0" applyNumberFormat="1" applyFont="1" applyFill="1" applyBorder="1"/>
    <xf numFmtId="3" fontId="48" fillId="42" borderId="17" xfId="0" applyNumberFormat="1" applyFont="1" applyFill="1" applyBorder="1"/>
    <xf numFmtId="0" fontId="7" fillId="24" borderId="20" xfId="82" applyFont="1" applyFill="1" applyBorder="1" applyAlignment="1">
      <alignment horizontal="left"/>
    </xf>
    <xf numFmtId="0" fontId="7" fillId="24" borderId="20" xfId="82" applyFont="1" applyFill="1" applyBorder="1" applyAlignment="1">
      <alignment horizontal="right"/>
    </xf>
    <xf numFmtId="166" fontId="7" fillId="24" borderId="20" xfId="56" applyNumberFormat="1" applyFont="1" applyFill="1" applyBorder="1"/>
    <xf numFmtId="0" fontId="7" fillId="24" borderId="20" xfId="82" applyFont="1" applyFill="1" applyBorder="1"/>
    <xf numFmtId="0" fontId="52" fillId="25" borderId="0" xfId="82" applyFont="1" applyFill="1" applyAlignment="1">
      <alignment horizontal="left"/>
    </xf>
    <xf numFmtId="0" fontId="52" fillId="0" borderId="0" xfId="82" applyFont="1" applyAlignment="1">
      <alignment horizontal="left"/>
    </xf>
    <xf numFmtId="0" fontId="52" fillId="24" borderId="11" xfId="82" applyFont="1" applyFill="1" applyBorder="1" applyAlignment="1">
      <alignment horizontal="left"/>
    </xf>
    <xf numFmtId="0" fontId="7" fillId="24" borderId="17" xfId="82" applyFont="1" applyFill="1" applyBorder="1"/>
    <xf numFmtId="0" fontId="7" fillId="25" borderId="0" xfId="82" applyFont="1" applyFill="1"/>
    <xf numFmtId="0" fontId="0" fillId="40" borderId="12" xfId="0" applyFill="1" applyBorder="1"/>
    <xf numFmtId="0" fontId="52" fillId="0" borderId="11" xfId="0" applyFont="1" applyBorder="1" applyAlignment="1">
      <alignment horizontal="left"/>
    </xf>
    <xf numFmtId="0" fontId="73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3" fillId="24" borderId="0" xfId="0" applyFont="1" applyFill="1" applyAlignment="1">
      <alignment horizontal="center" vertical="center"/>
    </xf>
    <xf numFmtId="0" fontId="73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73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5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0" fontId="7" fillId="24" borderId="15" xfId="82" applyFont="1" applyFill="1" applyBorder="1"/>
    <xf numFmtId="0" fontId="7" fillId="24" borderId="16" xfId="82" applyFont="1" applyFill="1" applyBorder="1"/>
    <xf numFmtId="0" fontId="50" fillId="24" borderId="16" xfId="82" applyFont="1" applyFill="1" applyBorder="1" applyAlignment="1">
      <alignment horizontal="center"/>
    </xf>
    <xf numFmtId="0" fontId="7" fillId="24" borderId="19" xfId="82" applyFont="1" applyFill="1" applyBorder="1"/>
    <xf numFmtId="3" fontId="0" fillId="0" borderId="0" xfId="0" applyNumberFormat="1" applyAlignment="1">
      <alignment horizontal="right"/>
    </xf>
    <xf numFmtId="165" fontId="0" fillId="0" borderId="0" xfId="0" applyNumberFormat="1"/>
    <xf numFmtId="0" fontId="64" fillId="0" borderId="0" xfId="82" applyFont="1" applyAlignment="1">
      <alignment horizontal="center"/>
    </xf>
    <xf numFmtId="0" fontId="64" fillId="0" borderId="0" xfId="110" applyFont="1" applyAlignment="1">
      <alignment horizontal="left" vertical="center" wrapText="1"/>
    </xf>
    <xf numFmtId="169" fontId="50" fillId="0" borderId="11" xfId="82" applyNumberFormat="1" applyFont="1" applyBorder="1"/>
    <xf numFmtId="169" fontId="50" fillId="0" borderId="0" xfId="82" applyNumberFormat="1" applyFont="1"/>
    <xf numFmtId="169" fontId="50" fillId="0" borderId="18" xfId="82" applyNumberFormat="1" applyFont="1" applyBorder="1"/>
    <xf numFmtId="0" fontId="0" fillId="25" borderId="0" xfId="0" applyFill="1"/>
    <xf numFmtId="169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8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7" fillId="0" borderId="11" xfId="0" applyFont="1" applyBorder="1" applyAlignment="1">
      <alignment wrapText="1"/>
    </xf>
    <xf numFmtId="3" fontId="77" fillId="0" borderId="11" xfId="0" applyNumberFormat="1" applyFont="1" applyBorder="1"/>
    <xf numFmtId="9" fontId="77" fillId="0" borderId="11" xfId="0" applyNumberFormat="1" applyFont="1" applyBorder="1"/>
    <xf numFmtId="0" fontId="77" fillId="0" borderId="11" xfId="0" applyFont="1" applyBorder="1" applyAlignment="1">
      <alignment horizontal="right"/>
    </xf>
    <xf numFmtId="0" fontId="76" fillId="0" borderId="0" xfId="0" applyFont="1"/>
    <xf numFmtId="10" fontId="77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6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6" fillId="47" borderId="11" xfId="0" applyFont="1" applyFill="1" applyBorder="1" applyAlignment="1">
      <alignment horizontal="center" wrapText="1"/>
    </xf>
    <xf numFmtId="0" fontId="48" fillId="47" borderId="11" xfId="0" applyFont="1" applyFill="1" applyBorder="1" applyAlignment="1">
      <alignment horizontal="center" wrapText="1"/>
    </xf>
    <xf numFmtId="169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69" fontId="50" fillId="0" borderId="37" xfId="82" applyNumberFormat="1" applyFont="1" applyBorder="1"/>
    <xf numFmtId="0" fontId="0" fillId="0" borderId="29" xfId="0" applyBorder="1"/>
    <xf numFmtId="169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69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4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3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6" fillId="24" borderId="11" xfId="0" applyFont="1" applyFill="1" applyBorder="1" applyAlignment="1">
      <alignment horizontal="center" wrapText="1"/>
    </xf>
    <xf numFmtId="169" fontId="50" fillId="24" borderId="17" xfId="82" applyNumberFormat="1" applyFont="1" applyFill="1" applyBorder="1"/>
    <xf numFmtId="169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9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165" fontId="48" fillId="0" borderId="11" xfId="56" applyNumberFormat="1" applyFont="1" applyFill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3" fontId="0" fillId="0" borderId="17" xfId="0" applyNumberFormat="1" applyBorder="1"/>
    <xf numFmtId="0" fontId="30" fillId="47" borderId="11" xfId="0" applyFont="1" applyFill="1" applyBorder="1" applyAlignment="1">
      <alignment horizontal="left"/>
    </xf>
    <xf numFmtId="10" fontId="30" fillId="47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1" fontId="30" fillId="0" borderId="0" xfId="92" applyNumberFormat="1" applyFont="1" applyAlignment="1">
      <alignment horizontal="center"/>
    </xf>
    <xf numFmtId="172" fontId="30" fillId="0" borderId="0" xfId="0" applyNumberFormat="1" applyFont="1" applyAlignment="1">
      <alignment horizontal="center"/>
    </xf>
    <xf numFmtId="170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0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52" fillId="24" borderId="20" xfId="0" applyFont="1" applyFill="1" applyBorder="1" applyAlignment="1">
      <alignment horizontal="left" vertical="center" wrapText="1"/>
    </xf>
    <xf numFmtId="0" fontId="48" fillId="40" borderId="12" xfId="0" applyFont="1" applyFill="1" applyBorder="1" applyAlignment="1">
      <alignment horizontal="left"/>
    </xf>
    <xf numFmtId="0" fontId="52" fillId="40" borderId="0" xfId="0" applyFont="1" applyFill="1" applyAlignment="1">
      <alignment horizontal="right" vertical="center"/>
    </xf>
    <xf numFmtId="3" fontId="48" fillId="40" borderId="0" xfId="0" applyNumberFormat="1" applyFont="1" applyFill="1"/>
    <xf numFmtId="0" fontId="0" fillId="0" borderId="20" xfId="0" applyBorder="1" applyAlignment="1">
      <alignment horizontal="left"/>
    </xf>
    <xf numFmtId="165" fontId="48" fillId="24" borderId="17" xfId="0" applyNumberFormat="1" applyFont="1" applyFill="1" applyBorder="1" applyAlignment="1">
      <alignment horizontal="center" wrapText="1"/>
    </xf>
    <xf numFmtId="2" fontId="68" fillId="0" borderId="0" xfId="0" applyNumberFormat="1" applyFont="1" applyAlignment="1">
      <alignment vertical="top"/>
    </xf>
    <xf numFmtId="0" fontId="0" fillId="0" borderId="17" xfId="0" applyBorder="1" applyAlignment="1">
      <alignment horizontal="center" vertical="center"/>
    </xf>
    <xf numFmtId="0" fontId="64" fillId="0" borderId="16" xfId="0" applyFont="1" applyBorder="1"/>
    <xf numFmtId="0" fontId="0" fillId="0" borderId="20" xfId="0" applyBorder="1" applyAlignment="1">
      <alignment horizontal="center" vertical="center"/>
    </xf>
    <xf numFmtId="10" fontId="30" fillId="47" borderId="11" xfId="0" applyNumberFormat="1" applyFont="1" applyFill="1" applyBorder="1"/>
    <xf numFmtId="170" fontId="30" fillId="47" borderId="11" xfId="0" applyNumberFormat="1" applyFont="1" applyFill="1" applyBorder="1" applyAlignment="1">
      <alignment horizontal="center"/>
    </xf>
    <xf numFmtId="0" fontId="30" fillId="47" borderId="0" xfId="0" applyFont="1" applyFill="1" applyAlignment="1">
      <alignment horizontal="left"/>
    </xf>
    <xf numFmtId="9" fontId="0" fillId="0" borderId="11" xfId="92" applyFont="1" applyFill="1" applyBorder="1"/>
    <xf numFmtId="0" fontId="30" fillId="26" borderId="34" xfId="0" applyFont="1" applyFill="1" applyBorder="1" applyAlignment="1">
      <alignment horizontal="left"/>
    </xf>
    <xf numFmtId="0" fontId="30" fillId="26" borderId="34" xfId="0" applyFont="1" applyFill="1" applyBorder="1"/>
    <xf numFmtId="0" fontId="33" fillId="30" borderId="34" xfId="0" applyFont="1" applyFill="1" applyBorder="1" applyAlignment="1">
      <alignment vertical="center" wrapText="1"/>
    </xf>
    <xf numFmtId="0" fontId="33" fillId="27" borderId="34" xfId="0" applyFont="1" applyFill="1" applyBorder="1"/>
    <xf numFmtId="0" fontId="30" fillId="0" borderId="34" xfId="0" applyFont="1" applyBorder="1"/>
    <xf numFmtId="3" fontId="33" fillId="0" borderId="34" xfId="0" applyNumberFormat="1" applyFont="1" applyBorder="1"/>
    <xf numFmtId="3" fontId="8" fillId="0" borderId="34" xfId="0" applyNumberFormat="1" applyFont="1" applyBorder="1"/>
    <xf numFmtId="3" fontId="30" fillId="0" borderId="34" xfId="0" applyNumberFormat="1" applyFont="1" applyBorder="1"/>
    <xf numFmtId="3" fontId="7" fillId="0" borderId="34" xfId="0" applyNumberFormat="1" applyFont="1" applyBorder="1"/>
    <xf numFmtId="0" fontId="7" fillId="0" borderId="34" xfId="0" applyFont="1" applyBorder="1"/>
    <xf numFmtId="0" fontId="0" fillId="24" borderId="21" xfId="0" applyFill="1" applyBorder="1" applyAlignment="1">
      <alignment horizontal="center" wrapText="1"/>
    </xf>
    <xf numFmtId="0" fontId="48" fillId="43" borderId="21" xfId="0" applyFont="1" applyFill="1" applyBorder="1"/>
    <xf numFmtId="0" fontId="0" fillId="44" borderId="21" xfId="0" applyFill="1" applyBorder="1"/>
    <xf numFmtId="0" fontId="0" fillId="41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8" fillId="40" borderId="21" xfId="0" applyFont="1" applyFill="1" applyBorder="1"/>
    <xf numFmtId="0" fontId="0" fillId="0" borderId="17" xfId="0" applyBorder="1" applyAlignment="1">
      <alignment wrapText="1"/>
    </xf>
    <xf numFmtId="0" fontId="48" fillId="24" borderId="12" xfId="0" applyFont="1" applyFill="1" applyBorder="1" applyAlignment="1">
      <alignment horizontal="center" wrapText="1"/>
    </xf>
    <xf numFmtId="10" fontId="0" fillId="0" borderId="14" xfId="92" applyNumberFormat="1" applyFont="1" applyFill="1" applyBorder="1"/>
    <xf numFmtId="0" fontId="48" fillId="0" borderId="14" xfId="0" applyFont="1" applyBorder="1" applyAlignment="1">
      <alignment horizontal="center" wrapText="1"/>
    </xf>
    <xf numFmtId="0" fontId="63" fillId="0" borderId="0" xfId="72" applyFont="1" applyAlignment="1" applyProtection="1"/>
    <xf numFmtId="0" fontId="52" fillId="0" borderId="0" xfId="82" applyFont="1" applyAlignment="1">
      <alignment horizontal="center" wrapText="1"/>
    </xf>
    <xf numFmtId="165" fontId="52" fillId="0" borderId="0" xfId="82" applyNumberFormat="1" applyFont="1"/>
    <xf numFmtId="165" fontId="50" fillId="0" borderId="0" xfId="82" applyNumberFormat="1" applyFont="1"/>
    <xf numFmtId="0" fontId="55" fillId="0" borderId="14" xfId="0" applyFont="1" applyBorder="1"/>
    <xf numFmtId="166" fontId="55" fillId="0" borderId="0" xfId="56" applyNumberFormat="1" applyFont="1" applyFill="1" applyBorder="1" applyAlignment="1">
      <alignment horizontal="left"/>
    </xf>
    <xf numFmtId="0" fontId="50" fillId="24" borderId="16" xfId="82" applyFont="1" applyFill="1" applyBorder="1" applyAlignment="1">
      <alignment horizontal="center" vertical="top"/>
    </xf>
    <xf numFmtId="165" fontId="52" fillId="0" borderId="11" xfId="82" applyNumberFormat="1" applyFont="1" applyBorder="1"/>
    <xf numFmtId="165" fontId="28" fillId="0" borderId="17" xfId="0" applyNumberFormat="1" applyFont="1" applyBorder="1"/>
    <xf numFmtId="10" fontId="28" fillId="0" borderId="17" xfId="92" applyNumberFormat="1" applyFont="1" applyFill="1" applyBorder="1"/>
    <xf numFmtId="0" fontId="48" fillId="24" borderId="17" xfId="0" applyFont="1" applyFill="1" applyBorder="1"/>
    <xf numFmtId="0" fontId="0" fillId="24" borderId="31" xfId="0" applyFill="1" applyBorder="1" applyAlignment="1">
      <alignment horizontal="center" wrapText="1"/>
    </xf>
    <xf numFmtId="165" fontId="0" fillId="0" borderId="17" xfId="0" applyNumberFormat="1" applyBorder="1"/>
    <xf numFmtId="10" fontId="52" fillId="0" borderId="0" xfId="92" applyNumberFormat="1" applyFont="1" applyFill="1" applyBorder="1"/>
    <xf numFmtId="0" fontId="52" fillId="0" borderId="18" xfId="82" applyFont="1" applyBorder="1" applyAlignment="1">
      <alignment horizontal="center" wrapText="1"/>
    </xf>
    <xf numFmtId="0" fontId="50" fillId="0" borderId="18" xfId="82" applyFont="1" applyBorder="1"/>
    <xf numFmtId="0" fontId="63" fillId="0" borderId="0" xfId="82" applyFont="1"/>
    <xf numFmtId="165" fontId="0" fillId="0" borderId="34" xfId="0" applyNumberFormat="1" applyBorder="1"/>
    <xf numFmtId="169" fontId="52" fillId="0" borderId="14" xfId="82" applyNumberFormat="1" applyFont="1" applyBorder="1"/>
    <xf numFmtId="169" fontId="50" fillId="0" borderId="14" xfId="82" applyNumberFormat="1" applyFont="1" applyBorder="1"/>
    <xf numFmtId="9" fontId="0" fillId="0" borderId="0" xfId="0" applyNumberFormat="1"/>
    <xf numFmtId="0" fontId="48" fillId="0" borderId="34" xfId="0" applyFont="1" applyBorder="1" applyAlignment="1">
      <alignment horizontal="right"/>
    </xf>
    <xf numFmtId="165" fontId="0" fillId="0" borderId="10" xfId="0" applyNumberFormat="1" applyBorder="1"/>
    <xf numFmtId="10" fontId="0" fillId="39" borderId="33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0" fontId="48" fillId="39" borderId="11" xfId="92" applyNumberFormat="1" applyFont="1" applyFill="1" applyBorder="1" applyProtection="1">
      <protection locked="0"/>
    </xf>
    <xf numFmtId="3" fontId="48" fillId="39" borderId="11" xfId="0" applyNumberFormat="1" applyFont="1" applyFill="1" applyBorder="1" applyProtection="1">
      <protection locked="0"/>
    </xf>
    <xf numFmtId="166" fontId="28" fillId="39" borderId="11" xfId="56" applyNumberFormat="1" applyFont="1" applyFill="1" applyBorder="1" applyAlignment="1" applyProtection="1">
      <alignment horizontal="right"/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164" fontId="63" fillId="39" borderId="11" xfId="82" applyNumberFormat="1" applyFont="1" applyFill="1" applyBorder="1" applyProtection="1">
      <protection locked="0"/>
    </xf>
    <xf numFmtId="9" fontId="63" fillId="39" borderId="11" xfId="92" applyFont="1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8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50" fillId="39" borderId="11" xfId="82" applyFont="1" applyFill="1" applyBorder="1" applyProtection="1">
      <protection locked="0"/>
    </xf>
    <xf numFmtId="166" fontId="50" fillId="39" borderId="11" xfId="56" applyNumberFormat="1" applyFont="1" applyFill="1" applyBorder="1" applyProtection="1">
      <protection locked="0"/>
    </xf>
    <xf numFmtId="0" fontId="50" fillId="39" borderId="11" xfId="82" applyFont="1" applyFill="1" applyBorder="1" applyAlignment="1" applyProtection="1">
      <alignment horizontal="right"/>
      <protection locked="0"/>
    </xf>
    <xf numFmtId="0" fontId="50" fillId="39" borderId="17" xfId="82" applyFont="1" applyFill="1" applyBorder="1" applyProtection="1">
      <protection locked="0"/>
    </xf>
    <xf numFmtId="0" fontId="50" fillId="39" borderId="11" xfId="82" applyFont="1" applyFill="1" applyBorder="1" applyAlignment="1" applyProtection="1">
      <alignment horizontal="center"/>
      <protection locked="0"/>
    </xf>
    <xf numFmtId="165" fontId="50" fillId="39" borderId="12" xfId="82" applyNumberFormat="1" applyFont="1" applyFill="1" applyBorder="1" applyProtection="1">
      <protection locked="0"/>
    </xf>
    <xf numFmtId="9" fontId="50" fillId="39" borderId="11" xfId="82" applyNumberFormat="1" applyFont="1" applyFill="1" applyBorder="1" applyProtection="1">
      <protection locked="0"/>
    </xf>
    <xf numFmtId="165" fontId="50" fillId="39" borderId="11" xfId="82" applyNumberFormat="1" applyFont="1" applyFill="1" applyBorder="1" applyProtection="1">
      <protection locked="0"/>
    </xf>
    <xf numFmtId="165" fontId="52" fillId="39" borderId="11" xfId="82" applyNumberFormat="1" applyFont="1" applyFill="1" applyBorder="1" applyProtection="1">
      <protection locked="0"/>
    </xf>
    <xf numFmtId="166" fontId="50" fillId="39" borderId="12" xfId="56" applyNumberFormat="1" applyFont="1" applyFill="1" applyBorder="1" applyAlignment="1" applyProtection="1">
      <alignment horizontal="center"/>
      <protection locked="0"/>
    </xf>
    <xf numFmtId="0" fontId="63" fillId="39" borderId="11" xfId="82" applyFont="1" applyFill="1" applyBorder="1" applyProtection="1">
      <protection locked="0"/>
    </xf>
    <xf numFmtId="0" fontId="50" fillId="39" borderId="12" xfId="82" applyFont="1" applyFill="1" applyBorder="1" applyAlignment="1" applyProtection="1">
      <alignment horizontal="left"/>
      <protection locked="0"/>
    </xf>
    <xf numFmtId="0" fontId="7" fillId="39" borderId="20" xfId="82" applyFont="1" applyFill="1" applyBorder="1" applyAlignment="1" applyProtection="1">
      <alignment horizontal="right"/>
      <protection locked="0"/>
    </xf>
    <xf numFmtId="166" fontId="7" fillId="39" borderId="20" xfId="56" applyNumberFormat="1" applyFont="1" applyFill="1" applyBorder="1" applyProtection="1">
      <protection locked="0"/>
    </xf>
    <xf numFmtId="0" fontId="7" fillId="39" borderId="20" xfId="82" applyFont="1" applyFill="1" applyBorder="1" applyProtection="1">
      <protection locked="0"/>
    </xf>
    <xf numFmtId="166" fontId="7" fillId="39" borderId="17" xfId="56" applyNumberFormat="1" applyFont="1" applyFill="1" applyBorder="1" applyProtection="1">
      <protection locked="0"/>
    </xf>
    <xf numFmtId="166" fontId="50" fillId="39" borderId="11" xfId="56" applyNumberFormat="1" applyFont="1" applyFill="1" applyBorder="1" applyAlignment="1" applyProtection="1">
      <alignment horizontal="center"/>
      <protection locked="0"/>
    </xf>
    <xf numFmtId="0" fontId="7" fillId="39" borderId="20" xfId="82" applyFont="1" applyFill="1" applyBorder="1" applyAlignment="1" applyProtection="1">
      <alignment horizontal="left"/>
      <protection locked="0"/>
    </xf>
    <xf numFmtId="164" fontId="50" fillId="39" borderId="11" xfId="82" applyNumberFormat="1" applyFont="1" applyFill="1" applyBorder="1" applyProtection="1">
      <protection locked="0"/>
    </xf>
    <xf numFmtId="10" fontId="50" fillId="39" borderId="11" xfId="92" applyNumberFormat="1" applyFont="1" applyFill="1" applyBorder="1" applyProtection="1">
      <protection locked="0"/>
    </xf>
    <xf numFmtId="168" fontId="50" fillId="39" borderId="11" xfId="82" applyNumberFormat="1" applyFont="1" applyFill="1" applyBorder="1" applyProtection="1">
      <protection locked="0"/>
    </xf>
    <xf numFmtId="0" fontId="0" fillId="39" borderId="11" xfId="0" applyFill="1" applyBorder="1" applyAlignment="1" applyProtection="1">
      <alignment horizontal="right"/>
      <protection locked="0"/>
    </xf>
    <xf numFmtId="0" fontId="29" fillId="0" borderId="11" xfId="72" applyBorder="1" applyAlignment="1" applyProtection="1">
      <alignment wrapText="1"/>
    </xf>
    <xf numFmtId="0" fontId="29" fillId="0" borderId="23" xfId="72" applyBorder="1" applyAlignment="1" applyProtection="1"/>
    <xf numFmtId="0" fontId="29" fillId="0" borderId="12" xfId="72" applyBorder="1" applyAlignment="1" applyProtection="1"/>
    <xf numFmtId="0" fontId="0" fillId="0" borderId="0" xfId="0" applyProtection="1">
      <protection locked="0"/>
    </xf>
    <xf numFmtId="0" fontId="29" fillId="0" borderId="20" xfId="72" applyFill="1" applyBorder="1" applyAlignment="1" applyProtection="1">
      <alignment horizontal="left" vertical="center" wrapText="1"/>
    </xf>
    <xf numFmtId="0" fontId="29" fillId="0" borderId="20" xfId="72" applyBorder="1" applyAlignment="1" applyProtection="1">
      <alignment wrapText="1"/>
    </xf>
    <xf numFmtId="0" fontId="29" fillId="0" borderId="17" xfId="72" applyBorder="1" applyAlignment="1" applyProtection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8" borderId="12" xfId="82" applyFont="1" applyFill="1" applyBorder="1" applyAlignment="1">
      <alignment horizontal="center" vertical="center"/>
    </xf>
    <xf numFmtId="0" fontId="48" fillId="48" borderId="20" xfId="82" applyFont="1" applyFill="1" applyBorder="1" applyAlignment="1">
      <alignment horizontal="center" vertical="center"/>
    </xf>
    <xf numFmtId="0" fontId="48" fillId="48" borderId="17" xfId="82" applyFont="1" applyFill="1" applyBorder="1" applyAlignment="1">
      <alignment horizontal="center" vertical="center"/>
    </xf>
    <xf numFmtId="0" fontId="64" fillId="46" borderId="23" xfId="82" applyFont="1" applyFill="1" applyBorder="1" applyAlignment="1">
      <alignment horizontal="center"/>
    </xf>
    <xf numFmtId="0" fontId="64" fillId="46" borderId="10" xfId="82" applyFont="1" applyFill="1" applyBorder="1" applyAlignment="1">
      <alignment horizontal="center"/>
    </xf>
    <xf numFmtId="0" fontId="64" fillId="46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ines.org.uk/emc" TargetMode="External"/><Relationship Id="rId13" Type="http://schemas.openxmlformats.org/officeDocument/2006/relationships/hyperlink" Target="https://digital.nhs.uk/data-and-information/publications/statistical/cancer-registration-statistics/england-2021---summary-counts-only" TargetMode="Externa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hyperlink" Target="https://bnf.nice.org.uk/" TargetMode="External"/><Relationship Id="rId12" Type="http://schemas.openxmlformats.org/officeDocument/2006/relationships/hyperlink" Target="https://www.healthpolicypartnership.com/app/uploads/Genetic-testing-for-BRCA-mutations-UK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statswales.gov.wales/Catalogue/Population-and-Migration/Population/Estimates/Local-Health-Boards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ons.gov.uk/peoplepopulationandcommunity/healthandsocialcare/conditionsanddiseases/bulletins/cancersurvivalinengland/stageatdiagnosisandchildhoodpatientsfollowedupto2018" TargetMode="External"/><Relationship Id="rId11" Type="http://schemas.openxmlformats.org/officeDocument/2006/relationships/hyperlink" Target="https://crukcancerintelligence.shinyapps.io/EarlyDiagnosis/" TargetMode="External"/><Relationship Id="rId5" Type="http://schemas.openxmlformats.org/officeDocument/2006/relationships/hyperlink" Target="https://www.ons.gov.uk/peoplepopulationandcommunity/healthandsocialcare/conditionsanddiseases/bulletins/cancersurvivalinengland/stageatdiagnosisandchildhoodpatientsfollowedupto2018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healthpolicypartnership.com/app/uploads/Genetic-testing-for-BRCA-mutations-UK.pdf" TargetMode="External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hyperlink" Target="https://digital.nhs.uk/data-and-information/publications/statistical/cancer-registration-statistics/england-2021---summary-counts-only" TargetMode="External"/><Relationship Id="rId14" Type="http://schemas.openxmlformats.org/officeDocument/2006/relationships/hyperlink" Target="https://bnf.nice.org.uk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opLeftCell="A4" zoomScale="80" zoomScaleNormal="80" zoomScaleSheetLayoutView="80" workbookViewId="0"/>
  </sheetViews>
  <sheetFormatPr defaultRowHeight="14.5"/>
  <cols>
    <col min="1" max="1" width="1.453125" customWidth="1"/>
    <col min="2" max="2" width="1.81640625" customWidth="1"/>
    <col min="14" max="14" width="8.7265625" customWidth="1"/>
    <col min="15" max="15" width="1.54296875" customWidth="1"/>
    <col min="16" max="16" width="1.453125" customWidth="1"/>
    <col min="21" max="21" width="31" customWidth="1"/>
  </cols>
  <sheetData>
    <row r="2" spans="2:21">
      <c r="B2" s="18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173"/>
    </row>
    <row r="3" spans="2:21">
      <c r="B3" s="176"/>
      <c r="O3" s="175"/>
    </row>
    <row r="4" spans="2:21">
      <c r="B4" s="176"/>
      <c r="O4" s="175"/>
    </row>
    <row r="5" spans="2:21">
      <c r="B5" s="176"/>
      <c r="O5" s="175"/>
    </row>
    <row r="6" spans="2:21" ht="47.5">
      <c r="B6" s="176"/>
      <c r="O6" s="175"/>
      <c r="S6" s="405"/>
      <c r="U6" s="406"/>
    </row>
    <row r="7" spans="2:21">
      <c r="B7" s="176"/>
      <c r="O7" s="175"/>
    </row>
    <row r="8" spans="2:21">
      <c r="B8" s="176"/>
      <c r="O8" s="175"/>
    </row>
    <row r="9" spans="2:21">
      <c r="B9" s="176"/>
      <c r="O9" s="175"/>
    </row>
    <row r="10" spans="2:21">
      <c r="B10" s="176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75"/>
    </row>
    <row r="11" spans="2:21" ht="31">
      <c r="B11" s="176"/>
      <c r="C11" s="190" t="s">
        <v>0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75"/>
    </row>
    <row r="12" spans="2:21">
      <c r="B12" s="176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75"/>
    </row>
    <row r="13" spans="2:21">
      <c r="B13" s="176"/>
      <c r="O13" s="175"/>
    </row>
    <row r="14" spans="2:21" ht="31">
      <c r="B14" s="176"/>
      <c r="C14" s="192" t="s">
        <v>1</v>
      </c>
      <c r="O14" s="175"/>
    </row>
    <row r="15" spans="2:21" ht="31">
      <c r="B15" s="176"/>
      <c r="C15" s="388" t="s">
        <v>1077</v>
      </c>
      <c r="O15" s="175"/>
    </row>
    <row r="16" spans="2:21" ht="31">
      <c r="B16" s="176"/>
      <c r="C16" s="388" t="s">
        <v>1078</v>
      </c>
      <c r="O16" s="175"/>
    </row>
    <row r="17" spans="2:15" ht="31">
      <c r="B17" s="176"/>
      <c r="C17" s="388"/>
      <c r="O17" s="175"/>
    </row>
    <row r="18" spans="2:15" ht="31">
      <c r="B18" s="176"/>
      <c r="C18" s="388" t="s">
        <v>1108</v>
      </c>
      <c r="D18" s="193"/>
      <c r="O18" s="175"/>
    </row>
    <row r="19" spans="2:15" ht="31">
      <c r="B19" s="176"/>
      <c r="D19" s="193"/>
      <c r="O19" s="175"/>
    </row>
    <row r="20" spans="2:15" ht="31">
      <c r="B20" s="176"/>
      <c r="C20" s="191" t="s">
        <v>1079</v>
      </c>
      <c r="D20" s="193"/>
      <c r="O20" s="175"/>
    </row>
    <row r="21" spans="2:15" ht="31">
      <c r="B21" s="176"/>
      <c r="D21" s="193"/>
      <c r="O21" s="175"/>
    </row>
    <row r="22" spans="2:15" ht="31">
      <c r="B22" s="176"/>
      <c r="D22" s="193"/>
      <c r="O22" s="175"/>
    </row>
    <row r="23" spans="2:15" ht="31">
      <c r="B23" s="176"/>
      <c r="D23" s="193"/>
      <c r="O23" s="175"/>
    </row>
    <row r="24" spans="2:15" ht="31">
      <c r="B24" s="176"/>
      <c r="C24" s="387"/>
      <c r="D24" s="193"/>
      <c r="O24" s="175"/>
    </row>
    <row r="25" spans="2:15">
      <c r="B25" s="176"/>
      <c r="O25" s="175"/>
    </row>
    <row r="26" spans="2:15">
      <c r="B26" s="176"/>
      <c r="O26" s="175"/>
    </row>
    <row r="27" spans="2:15">
      <c r="B27" s="176"/>
      <c r="O27" s="175"/>
    </row>
    <row r="28" spans="2:15">
      <c r="B28" s="176"/>
      <c r="O28" s="175"/>
    </row>
    <row r="29" spans="2:15">
      <c r="B29" s="176"/>
      <c r="O29" s="175"/>
    </row>
    <row r="30" spans="2:15">
      <c r="B30" s="176"/>
      <c r="O30" s="175"/>
    </row>
    <row r="31" spans="2:15">
      <c r="B31" s="176"/>
      <c r="O31" s="175"/>
    </row>
    <row r="32" spans="2:15">
      <c r="B32" s="176"/>
      <c r="O32" s="175"/>
    </row>
    <row r="33" spans="2:15">
      <c r="B33" s="176"/>
      <c r="O33" s="175"/>
    </row>
    <row r="34" spans="2:15">
      <c r="B34" s="176"/>
      <c r="O34" s="175"/>
    </row>
    <row r="35" spans="2:15">
      <c r="B35" s="176"/>
      <c r="C35" s="165" t="s">
        <v>2</v>
      </c>
      <c r="D35" s="217"/>
      <c r="E35" s="184"/>
      <c r="F35" s="268" t="s">
        <v>3</v>
      </c>
      <c r="G35" s="217"/>
      <c r="H35" s="217"/>
      <c r="I35" s="217"/>
      <c r="J35" s="217"/>
      <c r="K35" s="217"/>
      <c r="L35" s="217"/>
      <c r="M35" s="184"/>
      <c r="O35" s="175"/>
    </row>
    <row r="36" spans="2:15">
      <c r="B36" s="176"/>
      <c r="C36" s="165" t="s">
        <v>4</v>
      </c>
      <c r="D36" s="217"/>
      <c r="E36" s="184"/>
      <c r="F36" s="268" t="s">
        <v>1080</v>
      </c>
      <c r="G36" s="217"/>
      <c r="H36" s="217"/>
      <c r="I36" s="217"/>
      <c r="J36" s="217"/>
      <c r="K36" s="217"/>
      <c r="L36" s="217"/>
      <c r="M36" s="184"/>
      <c r="O36" s="175"/>
    </row>
    <row r="37" spans="2:15">
      <c r="B37" s="176"/>
      <c r="C37" s="165" t="s">
        <v>5</v>
      </c>
      <c r="D37" s="217"/>
      <c r="E37" s="184"/>
      <c r="F37" s="268" t="s">
        <v>1125</v>
      </c>
      <c r="G37" s="217"/>
      <c r="H37" s="217"/>
      <c r="I37" s="217"/>
      <c r="J37" s="217"/>
      <c r="K37" s="217"/>
      <c r="L37" s="217"/>
      <c r="M37" s="184"/>
      <c r="O37" s="175"/>
    </row>
    <row r="38" spans="2:15">
      <c r="B38" s="176"/>
      <c r="C38" s="165" t="s">
        <v>6</v>
      </c>
      <c r="D38" s="217"/>
      <c r="E38" s="184"/>
      <c r="F38" s="268" t="s">
        <v>1054</v>
      </c>
      <c r="G38" s="217"/>
      <c r="H38" s="217"/>
      <c r="I38" s="217"/>
      <c r="J38" s="217"/>
      <c r="K38" s="217"/>
      <c r="L38" s="217"/>
      <c r="M38" s="184"/>
      <c r="O38" s="175"/>
    </row>
    <row r="39" spans="2:15">
      <c r="B39" s="176"/>
      <c r="C39" s="268" t="s">
        <v>7</v>
      </c>
      <c r="D39" s="217"/>
      <c r="E39" s="184"/>
      <c r="F39" s="268" t="s">
        <v>8</v>
      </c>
      <c r="G39" s="217"/>
      <c r="H39" s="217"/>
      <c r="I39" s="217"/>
      <c r="J39" s="217"/>
      <c r="K39" s="217"/>
      <c r="L39" s="217"/>
      <c r="M39" s="184"/>
      <c r="O39" s="175"/>
    </row>
    <row r="40" spans="2:15">
      <c r="B40" s="176"/>
      <c r="C40" s="165" t="s">
        <v>9</v>
      </c>
      <c r="D40" s="217"/>
      <c r="E40" s="184"/>
      <c r="F40" s="268" t="s">
        <v>10</v>
      </c>
      <c r="G40" s="217"/>
      <c r="H40" s="217"/>
      <c r="I40" s="217"/>
      <c r="J40" s="217"/>
      <c r="K40" s="217"/>
      <c r="L40" s="217"/>
      <c r="M40" s="184"/>
      <c r="O40" s="175"/>
    </row>
    <row r="41" spans="2:15">
      <c r="B41" s="176"/>
      <c r="C41" s="165" t="s">
        <v>11</v>
      </c>
      <c r="D41" s="217"/>
      <c r="E41" s="184"/>
      <c r="F41" s="268" t="s">
        <v>1081</v>
      </c>
      <c r="G41" s="217"/>
      <c r="H41" s="217"/>
      <c r="I41" s="217"/>
      <c r="J41" s="217"/>
      <c r="K41" s="217"/>
      <c r="L41" s="217"/>
      <c r="M41" s="184"/>
      <c r="O41" s="175"/>
    </row>
    <row r="42" spans="2:15">
      <c r="B42" s="176"/>
      <c r="C42" s="165" t="s">
        <v>12</v>
      </c>
      <c r="D42" s="217"/>
      <c r="E42" s="184"/>
      <c r="F42" s="268" t="s">
        <v>13</v>
      </c>
      <c r="G42" s="217"/>
      <c r="H42" s="217"/>
      <c r="I42" s="217"/>
      <c r="J42" s="217"/>
      <c r="K42" s="217"/>
      <c r="L42" s="217"/>
      <c r="M42" s="184"/>
      <c r="O42" s="175"/>
    </row>
    <row r="43" spans="2:15">
      <c r="B43" s="177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9"/>
    </row>
  </sheetData>
  <sheetProtection algorithmName="SHA-512" hashValue="pnbyDUW1c9Zye78zyPUWz5NFPf6WJBu7ycqJBp8ygQGwZcOmaq6DJRKlmVDyNlPKo5EAw68s7VdV7UMuz0/NNA==" saltValue="zK2R0aVZ3KJ/rI/9iTRdo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7265625" defaultRowHeight="14.5"/>
  <cols>
    <col min="1" max="1" width="13.7265625" customWidth="1"/>
    <col min="3" max="4" width="11.81640625" customWidth="1"/>
    <col min="5" max="5" width="10.453125" style="525" customWidth="1"/>
    <col min="6" max="7" width="11.8164062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7265625" bestFit="1" customWidth="1"/>
    <col min="18" max="18" width="15.1796875" style="526" bestFit="1" customWidth="1"/>
    <col min="19" max="20" width="9" hidden="1" customWidth="1"/>
    <col min="21" max="22" width="9" customWidth="1"/>
    <col min="23" max="23" width="17.81640625" customWidth="1"/>
    <col min="24" max="24" width="12.54296875" customWidth="1"/>
    <col min="25" max="25" width="23.1796875" customWidth="1"/>
    <col min="26" max="27" width="5.453125" customWidth="1"/>
    <col min="28" max="28" width="13.26953125" customWidth="1"/>
    <col min="29" max="29" width="14.26953125" customWidth="1"/>
    <col min="30" max="30" width="10.453125" customWidth="1"/>
  </cols>
  <sheetData>
    <row r="1" spans="1:25" ht="29.15" customHeight="1"/>
    <row r="3" spans="1:25" ht="15" thickBot="1">
      <c r="B3" s="717" t="s">
        <v>884</v>
      </c>
      <c r="C3" s="718"/>
      <c r="D3" s="718"/>
      <c r="E3" s="718"/>
      <c r="F3" s="718"/>
      <c r="G3" s="719"/>
      <c r="H3" s="720" t="s">
        <v>409</v>
      </c>
      <c r="I3" s="721"/>
      <c r="J3" s="721"/>
      <c r="K3" s="721"/>
      <c r="L3" s="721"/>
      <c r="M3" s="721"/>
      <c r="N3" s="722"/>
      <c r="O3" s="527"/>
      <c r="P3" s="527"/>
    </row>
    <row r="4" spans="1:25" ht="57" customHeight="1">
      <c r="A4" s="569" t="s">
        <v>885</v>
      </c>
      <c r="B4" s="577" t="s">
        <v>886</v>
      </c>
      <c r="C4" s="578" t="s">
        <v>887</v>
      </c>
      <c r="D4" s="578" t="s">
        <v>888</v>
      </c>
      <c r="E4" s="579" t="s">
        <v>889</v>
      </c>
      <c r="F4" s="578" t="s">
        <v>890</v>
      </c>
      <c r="G4" s="580" t="s">
        <v>891</v>
      </c>
      <c r="H4" s="572" t="s">
        <v>887</v>
      </c>
      <c r="I4" s="573" t="s">
        <v>892</v>
      </c>
      <c r="J4" s="573" t="s">
        <v>409</v>
      </c>
      <c r="K4" s="573" t="s">
        <v>888</v>
      </c>
      <c r="L4" s="573" t="s">
        <v>889</v>
      </c>
      <c r="M4" s="573" t="s">
        <v>890</v>
      </c>
      <c r="N4" s="574" t="s">
        <v>891</v>
      </c>
      <c r="O4" s="528"/>
      <c r="P4" s="548" t="s">
        <v>885</v>
      </c>
      <c r="Q4" s="551" t="s">
        <v>1130</v>
      </c>
      <c r="R4" s="548" t="s">
        <v>891</v>
      </c>
      <c r="S4" s="549" t="s">
        <v>893</v>
      </c>
      <c r="T4" s="549" t="s">
        <v>894</v>
      </c>
      <c r="U4" s="549" t="s">
        <v>895</v>
      </c>
      <c r="V4" s="552" t="s">
        <v>896</v>
      </c>
    </row>
    <row r="5" spans="1:25">
      <c r="A5" s="570">
        <v>2</v>
      </c>
      <c r="B5" s="553" t="s">
        <v>897</v>
      </c>
      <c r="C5" s="529">
        <v>22383.9</v>
      </c>
      <c r="D5" s="529">
        <f t="shared" ref="D5:D36" si="0">(C5-$B$109)*0.138</f>
        <v>3088.9782000000005</v>
      </c>
      <c r="E5" s="554">
        <f t="shared" ref="E5:E68" si="1">C5*0.005</f>
        <v>111.91950000000001</v>
      </c>
      <c r="F5" s="529">
        <f t="shared" ref="F5:F68" si="2">C5*0.2068</f>
        <v>4628.9905200000003</v>
      </c>
      <c r="G5" s="555">
        <f t="shared" ref="G5:G68" si="3">SUM(C5:F5)</f>
        <v>30213.788220000002</v>
      </c>
      <c r="H5" s="575">
        <f t="shared" ref="H5:H68" si="4">C5</f>
        <v>22383.9</v>
      </c>
      <c r="I5" s="576">
        <v>5132.4000000000005</v>
      </c>
      <c r="J5" s="576">
        <f t="shared" ref="J5:J68" si="5">C5+I5</f>
        <v>27516.300000000003</v>
      </c>
      <c r="K5" s="576">
        <f>(J5-$B$109)*0.138</f>
        <v>3797.2494000000006</v>
      </c>
      <c r="L5" s="576">
        <f t="shared" ref="L5:L68" si="6">J5*0.005</f>
        <v>137.58150000000001</v>
      </c>
      <c r="M5" s="576">
        <f t="shared" ref="M5:M68" si="7">J5*0.2068</f>
        <v>5690.3708400000005</v>
      </c>
      <c r="N5" s="576">
        <f t="shared" ref="N5:N68" si="8">SUM(J5:M5)</f>
        <v>37141.501740000007</v>
      </c>
      <c r="O5" s="530"/>
      <c r="P5" s="529" t="s">
        <v>898</v>
      </c>
      <c r="Q5" s="165" t="s">
        <v>899</v>
      </c>
      <c r="R5" s="545">
        <v>30214</v>
      </c>
      <c r="S5" s="546">
        <v>0.41</v>
      </c>
      <c r="T5" s="546">
        <v>0.83</v>
      </c>
      <c r="U5" s="568">
        <v>1560</v>
      </c>
      <c r="V5" s="550">
        <f>ROUND(R5/U5,2)</f>
        <v>19.37</v>
      </c>
      <c r="Y5" s="526"/>
    </row>
    <row r="6" spans="1:25">
      <c r="A6" s="570">
        <v>2</v>
      </c>
      <c r="B6" s="553" t="s">
        <v>900</v>
      </c>
      <c r="C6" s="529">
        <v>22383.9</v>
      </c>
      <c r="D6" s="529">
        <f t="shared" si="0"/>
        <v>3088.9782000000005</v>
      </c>
      <c r="E6" s="554">
        <f t="shared" si="1"/>
        <v>111.91950000000001</v>
      </c>
      <c r="F6" s="529">
        <f t="shared" si="2"/>
        <v>4628.9905200000003</v>
      </c>
      <c r="G6" s="555">
        <f t="shared" si="3"/>
        <v>30213.788220000002</v>
      </c>
      <c r="H6" s="575">
        <f t="shared" si="4"/>
        <v>22383.9</v>
      </c>
      <c r="I6" s="576">
        <v>5132.4000000000005</v>
      </c>
      <c r="J6" s="576">
        <f t="shared" si="5"/>
        <v>27516.300000000003</v>
      </c>
      <c r="K6" s="576">
        <f t="shared" ref="K6:K69" si="9">(J6-$B$109)*0.138</f>
        <v>3797.2494000000006</v>
      </c>
      <c r="L6" s="576">
        <f t="shared" si="6"/>
        <v>137.58150000000001</v>
      </c>
      <c r="M6" s="576">
        <f t="shared" si="7"/>
        <v>5690.3708400000005</v>
      </c>
      <c r="N6" s="576">
        <f>SUM(J6:M6)</f>
        <v>37141.501740000007</v>
      </c>
      <c r="O6" s="530"/>
      <c r="P6" s="529" t="s">
        <v>898</v>
      </c>
      <c r="Q6" s="165" t="s">
        <v>901</v>
      </c>
      <c r="R6" s="545">
        <f>G8</f>
        <v>30213.788220000002</v>
      </c>
      <c r="S6" s="546">
        <v>0.41</v>
      </c>
      <c r="T6" s="546">
        <v>0.83</v>
      </c>
      <c r="U6" s="568">
        <v>1560</v>
      </c>
      <c r="V6" s="550">
        <f t="shared" ref="V6:V41" si="10">ROUND(R6/U6,2)</f>
        <v>19.37</v>
      </c>
      <c r="Y6" s="526"/>
    </row>
    <row r="7" spans="1:25">
      <c r="A7" s="570">
        <v>2</v>
      </c>
      <c r="B7" s="553" t="s">
        <v>902</v>
      </c>
      <c r="C7" s="529">
        <v>22383.9</v>
      </c>
      <c r="D7" s="529">
        <f t="shared" si="0"/>
        <v>3088.9782000000005</v>
      </c>
      <c r="E7" s="554">
        <f t="shared" si="1"/>
        <v>111.91950000000001</v>
      </c>
      <c r="F7" s="529">
        <f t="shared" si="2"/>
        <v>4628.9905200000003</v>
      </c>
      <c r="G7" s="555">
        <f t="shared" si="3"/>
        <v>30213.788220000002</v>
      </c>
      <c r="H7" s="575">
        <f t="shared" si="4"/>
        <v>22383.9</v>
      </c>
      <c r="I7" s="576">
        <v>5132.4000000000005</v>
      </c>
      <c r="J7" s="576">
        <f t="shared" si="5"/>
        <v>27516.300000000003</v>
      </c>
      <c r="K7" s="576">
        <f t="shared" si="9"/>
        <v>3797.2494000000006</v>
      </c>
      <c r="L7" s="576">
        <f t="shared" si="6"/>
        <v>137.58150000000001</v>
      </c>
      <c r="M7" s="576">
        <f t="shared" si="7"/>
        <v>5690.3708400000005</v>
      </c>
      <c r="N7" s="576">
        <f t="shared" si="8"/>
        <v>37141.501740000007</v>
      </c>
      <c r="O7" s="530"/>
      <c r="P7" s="529" t="s">
        <v>898</v>
      </c>
      <c r="Q7" s="165" t="s">
        <v>903</v>
      </c>
      <c r="R7" s="545">
        <f>G11</f>
        <v>30213.788220000002</v>
      </c>
      <c r="S7" s="546">
        <v>0.41</v>
      </c>
      <c r="T7" s="546">
        <v>0.83</v>
      </c>
      <c r="U7" s="568">
        <v>1560</v>
      </c>
      <c r="V7" s="550">
        <f t="shared" si="10"/>
        <v>19.37</v>
      </c>
      <c r="Y7" s="526"/>
    </row>
    <row r="8" spans="1:25">
      <c r="A8" s="570">
        <v>2</v>
      </c>
      <c r="B8" s="553" t="s">
        <v>904</v>
      </c>
      <c r="C8" s="529">
        <v>22383.9</v>
      </c>
      <c r="D8" s="529">
        <f t="shared" si="0"/>
        <v>3088.9782000000005</v>
      </c>
      <c r="E8" s="554">
        <f t="shared" si="1"/>
        <v>111.91950000000001</v>
      </c>
      <c r="F8" s="529">
        <f t="shared" si="2"/>
        <v>4628.9905200000003</v>
      </c>
      <c r="G8" s="555">
        <f t="shared" si="3"/>
        <v>30213.788220000002</v>
      </c>
      <c r="H8" s="575">
        <f t="shared" si="4"/>
        <v>22383.9</v>
      </c>
      <c r="I8" s="576">
        <v>5132.4000000000005</v>
      </c>
      <c r="J8" s="576">
        <f t="shared" si="5"/>
        <v>27516.300000000003</v>
      </c>
      <c r="K8" s="576">
        <f t="shared" si="9"/>
        <v>3797.2494000000006</v>
      </c>
      <c r="L8" s="576">
        <f t="shared" si="6"/>
        <v>137.58150000000001</v>
      </c>
      <c r="M8" s="576">
        <f t="shared" si="7"/>
        <v>5690.3708400000005</v>
      </c>
      <c r="N8" s="576">
        <f t="shared" si="8"/>
        <v>37141.501740000007</v>
      </c>
      <c r="O8" s="530"/>
      <c r="P8" s="529" t="s">
        <v>905</v>
      </c>
      <c r="Q8" s="165" t="s">
        <v>906</v>
      </c>
      <c r="R8" s="545">
        <v>29541.911700000001</v>
      </c>
      <c r="S8" s="546">
        <v>0.35</v>
      </c>
      <c r="T8" s="546">
        <v>0.69</v>
      </c>
      <c r="U8" s="568">
        <v>1560</v>
      </c>
      <c r="V8" s="550">
        <f t="shared" si="10"/>
        <v>18.940000000000001</v>
      </c>
      <c r="Y8" s="526"/>
    </row>
    <row r="9" spans="1:25">
      <c r="A9" s="570">
        <v>2</v>
      </c>
      <c r="B9" s="553" t="s">
        <v>907</v>
      </c>
      <c r="C9" s="529">
        <v>22383.9</v>
      </c>
      <c r="D9" s="529">
        <f t="shared" si="0"/>
        <v>3088.9782000000005</v>
      </c>
      <c r="E9" s="554">
        <f t="shared" si="1"/>
        <v>111.91950000000001</v>
      </c>
      <c r="F9" s="529">
        <f t="shared" si="2"/>
        <v>4628.9905200000003</v>
      </c>
      <c r="G9" s="555">
        <f t="shared" si="3"/>
        <v>30213.788220000002</v>
      </c>
      <c r="H9" s="575">
        <f t="shared" si="4"/>
        <v>22383.9</v>
      </c>
      <c r="I9" s="576">
        <v>5132.4000000000005</v>
      </c>
      <c r="J9" s="576">
        <f t="shared" si="5"/>
        <v>27516.300000000003</v>
      </c>
      <c r="K9" s="576">
        <f t="shared" si="9"/>
        <v>3797.2494000000006</v>
      </c>
      <c r="L9" s="576">
        <f t="shared" si="6"/>
        <v>137.58150000000001</v>
      </c>
      <c r="M9" s="576">
        <f t="shared" si="7"/>
        <v>5690.3708400000005</v>
      </c>
      <c r="N9" s="576">
        <f t="shared" si="8"/>
        <v>37141.501740000007</v>
      </c>
      <c r="O9" s="530"/>
      <c r="P9" s="529" t="s">
        <v>905</v>
      </c>
      <c r="Q9" s="165" t="s">
        <v>908</v>
      </c>
      <c r="R9" s="545">
        <v>31592.730330000006</v>
      </c>
      <c r="S9" s="546">
        <v>0.35</v>
      </c>
      <c r="T9" s="546">
        <v>0.69</v>
      </c>
      <c r="U9" s="568">
        <v>1560</v>
      </c>
      <c r="V9" s="550">
        <f t="shared" si="10"/>
        <v>20.25</v>
      </c>
      <c r="Y9" s="526"/>
    </row>
    <row r="10" spans="1:25">
      <c r="A10" s="570">
        <v>2</v>
      </c>
      <c r="B10" s="553" t="s">
        <v>909</v>
      </c>
      <c r="C10" s="529">
        <v>22383.9</v>
      </c>
      <c r="D10" s="529">
        <f t="shared" si="0"/>
        <v>3088.9782000000005</v>
      </c>
      <c r="E10" s="554">
        <f t="shared" si="1"/>
        <v>111.91950000000001</v>
      </c>
      <c r="F10" s="529">
        <f t="shared" si="2"/>
        <v>4628.9905200000003</v>
      </c>
      <c r="G10" s="555">
        <f t="shared" si="3"/>
        <v>30213.788220000002</v>
      </c>
      <c r="H10" s="575">
        <f t="shared" si="4"/>
        <v>22383.9</v>
      </c>
      <c r="I10" s="576">
        <v>5132.4000000000005</v>
      </c>
      <c r="J10" s="576">
        <f t="shared" si="5"/>
        <v>27516.300000000003</v>
      </c>
      <c r="K10" s="576">
        <f t="shared" si="9"/>
        <v>3797.2494000000006</v>
      </c>
      <c r="L10" s="576">
        <f t="shared" si="6"/>
        <v>137.58150000000001</v>
      </c>
      <c r="M10" s="576">
        <f t="shared" si="7"/>
        <v>5690.3708400000005</v>
      </c>
      <c r="N10" s="576">
        <f t="shared" si="8"/>
        <v>37141.501740000007</v>
      </c>
      <c r="O10" s="530"/>
      <c r="P10" s="529" t="s">
        <v>905</v>
      </c>
      <c r="Q10" s="165" t="s">
        <v>910</v>
      </c>
      <c r="R10" s="545">
        <v>31592.730330000006</v>
      </c>
      <c r="S10" s="546">
        <v>0.35</v>
      </c>
      <c r="T10" s="546">
        <v>0.69</v>
      </c>
      <c r="U10" s="568">
        <v>1560</v>
      </c>
      <c r="V10" s="550">
        <f t="shared" si="10"/>
        <v>20.25</v>
      </c>
      <c r="Y10" s="526"/>
    </row>
    <row r="11" spans="1:25">
      <c r="A11" s="570">
        <v>2</v>
      </c>
      <c r="B11" s="553" t="s">
        <v>911</v>
      </c>
      <c r="C11" s="529">
        <v>22383.9</v>
      </c>
      <c r="D11" s="529">
        <f t="shared" si="0"/>
        <v>3088.9782000000005</v>
      </c>
      <c r="E11" s="554">
        <f t="shared" si="1"/>
        <v>111.91950000000001</v>
      </c>
      <c r="F11" s="529">
        <f t="shared" si="2"/>
        <v>4628.9905200000003</v>
      </c>
      <c r="G11" s="555">
        <f t="shared" si="3"/>
        <v>30213.788220000002</v>
      </c>
      <c r="H11" s="575">
        <f t="shared" si="4"/>
        <v>22383.9</v>
      </c>
      <c r="I11" s="576">
        <v>5132.4000000000005</v>
      </c>
      <c r="J11" s="576">
        <f t="shared" si="5"/>
        <v>27516.300000000003</v>
      </c>
      <c r="K11" s="576">
        <f t="shared" si="9"/>
        <v>3797.2494000000006</v>
      </c>
      <c r="L11" s="576">
        <f t="shared" si="6"/>
        <v>137.58150000000001</v>
      </c>
      <c r="M11" s="576">
        <f t="shared" si="7"/>
        <v>5690.3708400000005</v>
      </c>
      <c r="N11" s="576">
        <f t="shared" si="8"/>
        <v>37141.501740000007</v>
      </c>
      <c r="O11" s="530"/>
      <c r="P11" s="529" t="s">
        <v>912</v>
      </c>
      <c r="Q11" s="165" t="s">
        <v>913</v>
      </c>
      <c r="R11" s="545">
        <v>32686.878210000003</v>
      </c>
      <c r="S11" s="546">
        <v>0.3</v>
      </c>
      <c r="T11" s="546">
        <v>0.6</v>
      </c>
      <c r="U11" s="568">
        <v>1560</v>
      </c>
      <c r="V11" s="550">
        <f t="shared" si="10"/>
        <v>20.95</v>
      </c>
      <c r="Y11" s="526"/>
    </row>
    <row r="12" spans="1:25">
      <c r="A12" s="570">
        <v>3</v>
      </c>
      <c r="B12" s="553" t="s">
        <v>914</v>
      </c>
      <c r="C12" s="529">
        <v>22816.5</v>
      </c>
      <c r="D12" s="529">
        <f t="shared" si="0"/>
        <v>3148.6770000000001</v>
      </c>
      <c r="E12" s="554">
        <f t="shared" si="1"/>
        <v>114.0825</v>
      </c>
      <c r="F12" s="529">
        <f t="shared" si="2"/>
        <v>4718.4522000000006</v>
      </c>
      <c r="G12" s="555">
        <f t="shared" si="3"/>
        <v>30797.7117</v>
      </c>
      <c r="H12" s="575">
        <f t="shared" si="4"/>
        <v>22816.5</v>
      </c>
      <c r="I12" s="576">
        <v>5132.4000000000005</v>
      </c>
      <c r="J12" s="576">
        <f t="shared" si="5"/>
        <v>27948.9</v>
      </c>
      <c r="K12" s="576">
        <f t="shared" si="9"/>
        <v>3856.9482000000007</v>
      </c>
      <c r="L12" s="576">
        <f t="shared" si="6"/>
        <v>139.74450000000002</v>
      </c>
      <c r="M12" s="576">
        <f t="shared" si="7"/>
        <v>5779.8325200000008</v>
      </c>
      <c r="N12" s="576">
        <f t="shared" si="8"/>
        <v>37725.425220000005</v>
      </c>
      <c r="O12" s="530"/>
      <c r="P12" s="529" t="s">
        <v>912</v>
      </c>
      <c r="Q12" s="165" t="s">
        <v>915</v>
      </c>
      <c r="R12" s="545">
        <v>35993.415780000003</v>
      </c>
      <c r="S12" s="546">
        <v>0.3</v>
      </c>
      <c r="T12" s="546">
        <v>0.6</v>
      </c>
      <c r="U12" s="568">
        <v>1560</v>
      </c>
      <c r="V12" s="550">
        <f t="shared" si="10"/>
        <v>23.07</v>
      </c>
      <c r="Y12" s="526"/>
    </row>
    <row r="13" spans="1:25">
      <c r="A13" s="570">
        <v>3</v>
      </c>
      <c r="B13" s="553" t="s">
        <v>916</v>
      </c>
      <c r="C13" s="529">
        <v>22816.5</v>
      </c>
      <c r="D13" s="529">
        <f t="shared" si="0"/>
        <v>3148.6770000000001</v>
      </c>
      <c r="E13" s="554">
        <f t="shared" si="1"/>
        <v>114.0825</v>
      </c>
      <c r="F13" s="529">
        <f t="shared" si="2"/>
        <v>4718.4522000000006</v>
      </c>
      <c r="G13" s="555">
        <f t="shared" si="3"/>
        <v>30797.7117</v>
      </c>
      <c r="H13" s="575">
        <f t="shared" si="4"/>
        <v>22816.5</v>
      </c>
      <c r="I13" s="576">
        <v>5132.4000000000005</v>
      </c>
      <c r="J13" s="576">
        <f t="shared" si="5"/>
        <v>27948.9</v>
      </c>
      <c r="K13" s="576">
        <f t="shared" si="9"/>
        <v>3856.9482000000007</v>
      </c>
      <c r="L13" s="576">
        <f t="shared" si="6"/>
        <v>139.74450000000002</v>
      </c>
      <c r="M13" s="576">
        <f t="shared" si="7"/>
        <v>5779.8325200000008</v>
      </c>
      <c r="N13" s="576">
        <f t="shared" si="8"/>
        <v>37725.425220000005</v>
      </c>
      <c r="O13" s="530"/>
      <c r="P13" s="529" t="s">
        <v>912</v>
      </c>
      <c r="Q13" s="165" t="s">
        <v>917</v>
      </c>
      <c r="R13" s="545">
        <v>35993.415780000003</v>
      </c>
      <c r="S13" s="546">
        <v>0.3</v>
      </c>
      <c r="T13" s="546">
        <v>0.6</v>
      </c>
      <c r="U13" s="568">
        <v>1560</v>
      </c>
      <c r="V13" s="550">
        <f t="shared" si="10"/>
        <v>23.07</v>
      </c>
      <c r="Y13" s="526"/>
    </row>
    <row r="14" spans="1:25">
      <c r="A14" s="570">
        <v>3</v>
      </c>
      <c r="B14" s="553" t="s">
        <v>918</v>
      </c>
      <c r="C14" s="529">
        <v>24335.850000000002</v>
      </c>
      <c r="D14" s="529">
        <f t="shared" si="0"/>
        <v>3358.3473000000004</v>
      </c>
      <c r="E14" s="554">
        <f t="shared" si="1"/>
        <v>121.67925000000001</v>
      </c>
      <c r="F14" s="529">
        <f t="shared" si="2"/>
        <v>5032.6537800000006</v>
      </c>
      <c r="G14" s="555">
        <f t="shared" si="3"/>
        <v>32848.530330000009</v>
      </c>
      <c r="H14" s="575">
        <f t="shared" si="4"/>
        <v>24335.850000000002</v>
      </c>
      <c r="I14" s="576">
        <v>5132.4000000000005</v>
      </c>
      <c r="J14" s="576">
        <f t="shared" si="5"/>
        <v>29468.250000000004</v>
      </c>
      <c r="K14" s="576">
        <f t="shared" si="9"/>
        <v>4066.6185000000009</v>
      </c>
      <c r="L14" s="576">
        <f t="shared" si="6"/>
        <v>147.34125000000003</v>
      </c>
      <c r="M14" s="576">
        <f t="shared" si="7"/>
        <v>6094.0341000000008</v>
      </c>
      <c r="N14" s="576">
        <f t="shared" si="8"/>
        <v>39776.243849999999</v>
      </c>
      <c r="O14" s="530"/>
      <c r="P14" s="529" t="s">
        <v>919</v>
      </c>
      <c r="Q14" s="165" t="s">
        <v>920</v>
      </c>
      <c r="R14" s="545">
        <v>37088.980949999997</v>
      </c>
      <c r="S14" s="546">
        <v>0.3</v>
      </c>
      <c r="T14" s="546">
        <v>0.6</v>
      </c>
      <c r="U14" s="568">
        <v>1560</v>
      </c>
      <c r="V14" s="550">
        <f t="shared" si="10"/>
        <v>23.77</v>
      </c>
      <c r="Y14" s="526"/>
    </row>
    <row r="15" spans="1:25">
      <c r="A15" s="570">
        <v>3</v>
      </c>
      <c r="B15" s="553" t="s">
        <v>921</v>
      </c>
      <c r="C15" s="529">
        <v>24335.850000000002</v>
      </c>
      <c r="D15" s="529">
        <f t="shared" si="0"/>
        <v>3358.3473000000004</v>
      </c>
      <c r="E15" s="554">
        <f t="shared" si="1"/>
        <v>121.67925000000001</v>
      </c>
      <c r="F15" s="529">
        <f t="shared" si="2"/>
        <v>5032.6537800000006</v>
      </c>
      <c r="G15" s="555">
        <f t="shared" si="3"/>
        <v>32848.530330000009</v>
      </c>
      <c r="H15" s="575">
        <f t="shared" si="4"/>
        <v>24335.850000000002</v>
      </c>
      <c r="I15" s="576">
        <v>5132.4000000000005</v>
      </c>
      <c r="J15" s="576">
        <f t="shared" si="5"/>
        <v>29468.250000000004</v>
      </c>
      <c r="K15" s="576">
        <f t="shared" si="9"/>
        <v>4066.6185000000009</v>
      </c>
      <c r="L15" s="576">
        <f t="shared" si="6"/>
        <v>147.34125000000003</v>
      </c>
      <c r="M15" s="576">
        <f t="shared" si="7"/>
        <v>6094.0341000000008</v>
      </c>
      <c r="N15" s="576">
        <f t="shared" si="8"/>
        <v>39776.243849999999</v>
      </c>
      <c r="O15" s="530"/>
      <c r="P15" s="529" t="s">
        <v>919</v>
      </c>
      <c r="Q15" s="165" t="s">
        <v>106</v>
      </c>
      <c r="R15" s="545">
        <v>40100.722199999997</v>
      </c>
      <c r="S15" s="546">
        <v>0.3</v>
      </c>
      <c r="T15" s="546">
        <v>0.6</v>
      </c>
      <c r="U15" s="568">
        <v>1560</v>
      </c>
      <c r="V15" s="550">
        <f t="shared" si="10"/>
        <v>25.71</v>
      </c>
      <c r="Y15" s="526"/>
    </row>
    <row r="16" spans="1:25">
      <c r="A16" s="570">
        <v>3</v>
      </c>
      <c r="B16" s="553" t="s">
        <v>922</v>
      </c>
      <c r="C16" s="529">
        <v>24335.850000000002</v>
      </c>
      <c r="D16" s="529">
        <f t="shared" si="0"/>
        <v>3358.3473000000004</v>
      </c>
      <c r="E16" s="554">
        <f t="shared" si="1"/>
        <v>121.67925000000001</v>
      </c>
      <c r="F16" s="529">
        <f t="shared" si="2"/>
        <v>5032.6537800000006</v>
      </c>
      <c r="G16" s="555">
        <f t="shared" si="3"/>
        <v>32848.530330000009</v>
      </c>
      <c r="H16" s="575">
        <f t="shared" si="4"/>
        <v>24335.850000000002</v>
      </c>
      <c r="I16" s="576">
        <v>5132.4000000000005</v>
      </c>
      <c r="J16" s="576">
        <f t="shared" si="5"/>
        <v>29468.250000000004</v>
      </c>
      <c r="K16" s="576">
        <f t="shared" si="9"/>
        <v>4066.6185000000009</v>
      </c>
      <c r="L16" s="576">
        <f t="shared" si="6"/>
        <v>147.34125000000003</v>
      </c>
      <c r="M16" s="576">
        <f t="shared" si="7"/>
        <v>6094.0341000000008</v>
      </c>
      <c r="N16" s="576">
        <f t="shared" si="8"/>
        <v>39776.243849999999</v>
      </c>
      <c r="O16" s="530"/>
      <c r="P16" s="529" t="s">
        <v>919</v>
      </c>
      <c r="Q16" s="165" t="s">
        <v>923</v>
      </c>
      <c r="R16" s="545">
        <v>45421.22886000001</v>
      </c>
      <c r="S16" s="546">
        <v>0.3</v>
      </c>
      <c r="T16" s="546">
        <v>0.6</v>
      </c>
      <c r="U16" s="568">
        <v>1560</v>
      </c>
      <c r="V16" s="550">
        <f t="shared" si="10"/>
        <v>29.12</v>
      </c>
      <c r="Y16" s="526"/>
    </row>
    <row r="17" spans="1:25">
      <c r="A17" s="570">
        <v>3</v>
      </c>
      <c r="B17" s="553" t="s">
        <v>924</v>
      </c>
      <c r="C17" s="529">
        <v>24335.850000000002</v>
      </c>
      <c r="D17" s="529">
        <f t="shared" si="0"/>
        <v>3358.3473000000004</v>
      </c>
      <c r="E17" s="554">
        <f t="shared" si="1"/>
        <v>121.67925000000001</v>
      </c>
      <c r="F17" s="529">
        <f t="shared" si="2"/>
        <v>5032.6537800000006</v>
      </c>
      <c r="G17" s="555">
        <f t="shared" si="3"/>
        <v>32848.530330000009</v>
      </c>
      <c r="H17" s="575">
        <f t="shared" si="4"/>
        <v>24335.850000000002</v>
      </c>
      <c r="I17" s="576">
        <v>5132.4000000000005</v>
      </c>
      <c r="J17" s="576">
        <f t="shared" si="5"/>
        <v>29468.250000000004</v>
      </c>
      <c r="K17" s="576">
        <f t="shared" si="9"/>
        <v>4066.6185000000009</v>
      </c>
      <c r="L17" s="576">
        <f t="shared" si="6"/>
        <v>147.34125000000003</v>
      </c>
      <c r="M17" s="576">
        <f t="shared" si="7"/>
        <v>6094.0341000000008</v>
      </c>
      <c r="N17" s="576">
        <f t="shared" si="8"/>
        <v>39776.243849999999</v>
      </c>
      <c r="O17" s="530"/>
      <c r="P17" s="529" t="s">
        <v>925</v>
      </c>
      <c r="Q17" s="165" t="s">
        <v>926</v>
      </c>
      <c r="R17" s="545">
        <v>46515.37674</v>
      </c>
      <c r="S17" s="546">
        <v>0.3</v>
      </c>
      <c r="T17" s="546">
        <v>0.6</v>
      </c>
      <c r="U17" s="568">
        <v>1560</v>
      </c>
      <c r="V17" s="550">
        <f t="shared" si="10"/>
        <v>29.82</v>
      </c>
      <c r="Y17" s="526"/>
    </row>
    <row r="18" spans="1:25">
      <c r="A18" s="570">
        <v>3</v>
      </c>
      <c r="B18" s="553" t="s">
        <v>927</v>
      </c>
      <c r="C18" s="529">
        <v>24335.850000000002</v>
      </c>
      <c r="D18" s="529">
        <f t="shared" si="0"/>
        <v>3358.3473000000004</v>
      </c>
      <c r="E18" s="554">
        <f t="shared" si="1"/>
        <v>121.67925000000001</v>
      </c>
      <c r="F18" s="529">
        <f t="shared" si="2"/>
        <v>5032.6537800000006</v>
      </c>
      <c r="G18" s="555">
        <f t="shared" si="3"/>
        <v>32848.530330000009</v>
      </c>
      <c r="H18" s="575">
        <f t="shared" si="4"/>
        <v>24335.850000000002</v>
      </c>
      <c r="I18" s="576">
        <v>5132.4000000000005</v>
      </c>
      <c r="J18" s="576">
        <f t="shared" si="5"/>
        <v>29468.250000000004</v>
      </c>
      <c r="K18" s="576">
        <f t="shared" si="9"/>
        <v>4066.6185000000009</v>
      </c>
      <c r="L18" s="576">
        <f t="shared" si="6"/>
        <v>147.34125000000003</v>
      </c>
      <c r="M18" s="576">
        <f t="shared" si="7"/>
        <v>6094.0341000000008</v>
      </c>
      <c r="N18" s="576">
        <f t="shared" si="8"/>
        <v>39776.243849999999</v>
      </c>
      <c r="O18" s="530"/>
      <c r="P18" s="529" t="s">
        <v>925</v>
      </c>
      <c r="Q18" s="165" t="s">
        <v>118</v>
      </c>
      <c r="R18" s="545">
        <v>49160.039879999989</v>
      </c>
      <c r="S18" s="546">
        <v>0.3</v>
      </c>
      <c r="T18" s="546">
        <v>0.6</v>
      </c>
      <c r="U18" s="568">
        <v>1560</v>
      </c>
      <c r="V18" s="550">
        <f t="shared" si="10"/>
        <v>31.51</v>
      </c>
      <c r="Y18" s="526"/>
    </row>
    <row r="19" spans="1:25">
      <c r="A19" s="570">
        <v>4</v>
      </c>
      <c r="B19" s="553" t="s">
        <v>928</v>
      </c>
      <c r="C19" s="529">
        <v>25146.45</v>
      </c>
      <c r="D19" s="529">
        <f t="shared" si="0"/>
        <v>3470.2101000000002</v>
      </c>
      <c r="E19" s="554">
        <f t="shared" si="1"/>
        <v>125.73225000000001</v>
      </c>
      <c r="F19" s="529">
        <f t="shared" si="2"/>
        <v>5200.2858600000009</v>
      </c>
      <c r="G19" s="555">
        <f t="shared" si="3"/>
        <v>33942.678210000005</v>
      </c>
      <c r="H19" s="575">
        <f t="shared" si="4"/>
        <v>25146.45</v>
      </c>
      <c r="I19" s="576">
        <v>5132.4000000000005</v>
      </c>
      <c r="J19" s="576">
        <f t="shared" si="5"/>
        <v>30278.850000000002</v>
      </c>
      <c r="K19" s="576">
        <f t="shared" si="9"/>
        <v>4178.4813000000004</v>
      </c>
      <c r="L19" s="576">
        <f t="shared" si="6"/>
        <v>151.39425000000003</v>
      </c>
      <c r="M19" s="576">
        <f t="shared" si="7"/>
        <v>6261.6661800000011</v>
      </c>
      <c r="N19" s="576">
        <f t="shared" si="8"/>
        <v>40870.391730000003</v>
      </c>
      <c r="O19" s="530"/>
      <c r="P19" s="529" t="s">
        <v>925</v>
      </c>
      <c r="Q19" s="165" t="s">
        <v>929</v>
      </c>
      <c r="R19" s="545">
        <v>56269.166519999999</v>
      </c>
      <c r="S19" s="546">
        <v>0.3</v>
      </c>
      <c r="T19" s="546">
        <v>0.6</v>
      </c>
      <c r="U19" s="568">
        <v>1560</v>
      </c>
      <c r="V19" s="550">
        <f t="shared" si="10"/>
        <v>36.07</v>
      </c>
      <c r="Y19" s="526"/>
    </row>
    <row r="20" spans="1:25">
      <c r="A20" s="570">
        <v>4</v>
      </c>
      <c r="B20" s="553" t="s">
        <v>930</v>
      </c>
      <c r="C20" s="529">
        <v>25146.45</v>
      </c>
      <c r="D20" s="529">
        <f t="shared" si="0"/>
        <v>3470.2101000000002</v>
      </c>
      <c r="E20" s="554">
        <f t="shared" si="1"/>
        <v>125.73225000000001</v>
      </c>
      <c r="F20" s="529">
        <f t="shared" si="2"/>
        <v>5200.2858600000009</v>
      </c>
      <c r="G20" s="555">
        <f t="shared" si="3"/>
        <v>33942.678210000005</v>
      </c>
      <c r="H20" s="575">
        <f t="shared" si="4"/>
        <v>25146.45</v>
      </c>
      <c r="I20" s="576">
        <v>5132.4000000000005</v>
      </c>
      <c r="J20" s="576">
        <f t="shared" si="5"/>
        <v>30278.850000000002</v>
      </c>
      <c r="K20" s="576">
        <f t="shared" si="9"/>
        <v>4178.4813000000004</v>
      </c>
      <c r="L20" s="576">
        <f t="shared" si="6"/>
        <v>151.39425000000003</v>
      </c>
      <c r="M20" s="576">
        <f t="shared" si="7"/>
        <v>6261.6661800000011</v>
      </c>
      <c r="N20" s="576">
        <f t="shared" si="8"/>
        <v>40870.391730000003</v>
      </c>
      <c r="O20" s="530"/>
      <c r="P20" s="529" t="s">
        <v>931</v>
      </c>
      <c r="Q20" s="165" t="s">
        <v>932</v>
      </c>
      <c r="R20" s="545">
        <v>57787.084110000011</v>
      </c>
      <c r="S20" s="546">
        <v>0.3</v>
      </c>
      <c r="T20" s="546">
        <v>0.6</v>
      </c>
      <c r="U20" s="568">
        <v>1560</v>
      </c>
      <c r="V20" s="550">
        <f t="shared" si="10"/>
        <v>37.04</v>
      </c>
      <c r="Y20" s="526"/>
    </row>
    <row r="21" spans="1:25">
      <c r="A21" s="570">
        <v>4</v>
      </c>
      <c r="B21" s="553" t="s">
        <v>933</v>
      </c>
      <c r="C21" s="529">
        <v>25146.45</v>
      </c>
      <c r="D21" s="529">
        <f t="shared" si="0"/>
        <v>3470.2101000000002</v>
      </c>
      <c r="E21" s="554">
        <f t="shared" si="1"/>
        <v>125.73225000000001</v>
      </c>
      <c r="F21" s="529">
        <f t="shared" si="2"/>
        <v>5200.2858600000009</v>
      </c>
      <c r="G21" s="555">
        <f t="shared" si="3"/>
        <v>33942.678210000005</v>
      </c>
      <c r="H21" s="575">
        <f t="shared" si="4"/>
        <v>25146.45</v>
      </c>
      <c r="I21" s="576">
        <v>5132.4000000000005</v>
      </c>
      <c r="J21" s="576">
        <f t="shared" si="5"/>
        <v>30278.850000000002</v>
      </c>
      <c r="K21" s="576">
        <f t="shared" si="9"/>
        <v>4178.4813000000004</v>
      </c>
      <c r="L21" s="576">
        <f t="shared" si="6"/>
        <v>151.39425000000003</v>
      </c>
      <c r="M21" s="576">
        <f t="shared" si="7"/>
        <v>6261.6661800000011</v>
      </c>
      <c r="N21" s="576">
        <f t="shared" si="8"/>
        <v>40870.391730000003</v>
      </c>
      <c r="O21" s="530"/>
      <c r="P21" s="529" t="s">
        <v>931</v>
      </c>
      <c r="Q21" s="165" t="s">
        <v>103</v>
      </c>
      <c r="R21" s="545">
        <v>60830.005740000008</v>
      </c>
      <c r="S21" s="546">
        <v>0.3</v>
      </c>
      <c r="T21" s="546">
        <v>0.6</v>
      </c>
      <c r="U21" s="568">
        <v>1560</v>
      </c>
      <c r="V21" s="550">
        <f t="shared" si="10"/>
        <v>38.99</v>
      </c>
      <c r="Y21" s="526"/>
    </row>
    <row r="22" spans="1:25">
      <c r="A22" s="570">
        <v>4</v>
      </c>
      <c r="B22" s="553" t="s">
        <v>934</v>
      </c>
      <c r="C22" s="529">
        <v>27596.100000000002</v>
      </c>
      <c r="D22" s="529">
        <f t="shared" si="0"/>
        <v>3808.2618000000007</v>
      </c>
      <c r="E22" s="554">
        <f t="shared" si="1"/>
        <v>137.98050000000001</v>
      </c>
      <c r="F22" s="529">
        <f t="shared" si="2"/>
        <v>5706.8734800000011</v>
      </c>
      <c r="G22" s="555">
        <f t="shared" si="3"/>
        <v>37249.215780000006</v>
      </c>
      <c r="H22" s="575">
        <f t="shared" si="4"/>
        <v>27596.100000000002</v>
      </c>
      <c r="I22" s="576">
        <v>5519.2200000000012</v>
      </c>
      <c r="J22" s="576">
        <f t="shared" si="5"/>
        <v>33115.320000000007</v>
      </c>
      <c r="K22" s="576">
        <f t="shared" si="9"/>
        <v>4569.9141600000012</v>
      </c>
      <c r="L22" s="576">
        <f t="shared" si="6"/>
        <v>165.57660000000004</v>
      </c>
      <c r="M22" s="576">
        <f t="shared" si="7"/>
        <v>6848.2481760000019</v>
      </c>
      <c r="N22" s="576">
        <f t="shared" si="8"/>
        <v>44699.058936000009</v>
      </c>
      <c r="O22" s="530"/>
      <c r="P22" s="529" t="s">
        <v>931</v>
      </c>
      <c r="Q22" s="165" t="s">
        <v>935</v>
      </c>
      <c r="R22" s="545">
        <v>66309.248879999999</v>
      </c>
      <c r="S22" s="546">
        <v>0.3</v>
      </c>
      <c r="T22" s="546">
        <v>0.6</v>
      </c>
      <c r="U22" s="568">
        <v>1560</v>
      </c>
      <c r="V22" s="550">
        <f t="shared" si="10"/>
        <v>42.51</v>
      </c>
      <c r="Y22" s="526"/>
    </row>
    <row r="23" spans="1:25">
      <c r="A23" s="570">
        <v>4</v>
      </c>
      <c r="B23" s="553" t="s">
        <v>936</v>
      </c>
      <c r="C23" s="529">
        <v>27596.100000000002</v>
      </c>
      <c r="D23" s="529">
        <f t="shared" si="0"/>
        <v>3808.2618000000007</v>
      </c>
      <c r="E23" s="554">
        <f t="shared" si="1"/>
        <v>137.98050000000001</v>
      </c>
      <c r="F23" s="529">
        <f t="shared" si="2"/>
        <v>5706.8734800000011</v>
      </c>
      <c r="G23" s="555">
        <f t="shared" si="3"/>
        <v>37249.215780000006</v>
      </c>
      <c r="H23" s="575">
        <f t="shared" si="4"/>
        <v>27596.100000000002</v>
      </c>
      <c r="I23" s="576">
        <v>5519.2200000000012</v>
      </c>
      <c r="J23" s="576">
        <f t="shared" si="5"/>
        <v>33115.320000000007</v>
      </c>
      <c r="K23" s="576">
        <f t="shared" si="9"/>
        <v>4569.9141600000012</v>
      </c>
      <c r="L23" s="576">
        <f t="shared" si="6"/>
        <v>165.57660000000004</v>
      </c>
      <c r="M23" s="576">
        <f t="shared" si="7"/>
        <v>6848.2481760000019</v>
      </c>
      <c r="N23" s="576">
        <f t="shared" si="8"/>
        <v>44699.058936000009</v>
      </c>
      <c r="O23" s="530"/>
      <c r="P23" s="529" t="s">
        <v>937</v>
      </c>
      <c r="Q23" s="165" t="s">
        <v>938</v>
      </c>
      <c r="R23" s="545">
        <v>67519.61454000001</v>
      </c>
      <c r="S23" s="546">
        <v>0.3</v>
      </c>
      <c r="T23" s="546">
        <v>0.6</v>
      </c>
      <c r="U23" s="568">
        <v>1560</v>
      </c>
      <c r="V23" s="550">
        <f t="shared" si="10"/>
        <v>43.28</v>
      </c>
      <c r="Y23" s="526"/>
    </row>
    <row r="24" spans="1:25">
      <c r="A24" s="570">
        <v>4</v>
      </c>
      <c r="B24" s="553" t="s">
        <v>939</v>
      </c>
      <c r="C24" s="529">
        <v>27596.100000000002</v>
      </c>
      <c r="D24" s="529">
        <f t="shared" si="0"/>
        <v>3808.2618000000007</v>
      </c>
      <c r="E24" s="554">
        <f t="shared" si="1"/>
        <v>137.98050000000001</v>
      </c>
      <c r="F24" s="529">
        <f t="shared" si="2"/>
        <v>5706.8734800000011</v>
      </c>
      <c r="G24" s="555">
        <f t="shared" si="3"/>
        <v>37249.215780000006</v>
      </c>
      <c r="H24" s="575">
        <f t="shared" si="4"/>
        <v>27596.100000000002</v>
      </c>
      <c r="I24" s="576">
        <v>5519.2200000000012</v>
      </c>
      <c r="J24" s="576">
        <f t="shared" si="5"/>
        <v>33115.320000000007</v>
      </c>
      <c r="K24" s="576">
        <f t="shared" si="9"/>
        <v>4569.9141600000012</v>
      </c>
      <c r="L24" s="576">
        <f t="shared" si="6"/>
        <v>165.57660000000004</v>
      </c>
      <c r="M24" s="576">
        <f t="shared" si="7"/>
        <v>6848.2481760000019</v>
      </c>
      <c r="N24" s="576">
        <f t="shared" si="8"/>
        <v>44699.058936000009</v>
      </c>
      <c r="O24" s="530"/>
      <c r="P24" s="529" t="s">
        <v>937</v>
      </c>
      <c r="Q24" s="165" t="s">
        <v>112</v>
      </c>
      <c r="R24" s="545">
        <v>67519.61454000001</v>
      </c>
      <c r="S24" s="546">
        <v>0.3</v>
      </c>
      <c r="T24" s="546">
        <v>0.6</v>
      </c>
      <c r="U24" s="568">
        <v>1560</v>
      </c>
      <c r="V24" s="550">
        <f t="shared" si="10"/>
        <v>43.28</v>
      </c>
      <c r="Y24" s="526"/>
    </row>
    <row r="25" spans="1:25">
      <c r="A25" s="570">
        <v>4</v>
      </c>
      <c r="B25" s="553" t="s">
        <v>940</v>
      </c>
      <c r="C25" s="529">
        <v>27596.100000000002</v>
      </c>
      <c r="D25" s="529">
        <f t="shared" si="0"/>
        <v>3808.2618000000007</v>
      </c>
      <c r="E25" s="554">
        <f t="shared" si="1"/>
        <v>137.98050000000001</v>
      </c>
      <c r="F25" s="529">
        <f t="shared" si="2"/>
        <v>5706.8734800000011</v>
      </c>
      <c r="G25" s="555">
        <f t="shared" si="3"/>
        <v>37249.215780000006</v>
      </c>
      <c r="H25" s="575">
        <f t="shared" si="4"/>
        <v>27596.100000000002</v>
      </c>
      <c r="I25" s="576">
        <v>5519.2200000000012</v>
      </c>
      <c r="J25" s="576">
        <f t="shared" si="5"/>
        <v>33115.320000000007</v>
      </c>
      <c r="K25" s="576">
        <f t="shared" si="9"/>
        <v>4569.9141600000012</v>
      </c>
      <c r="L25" s="576">
        <f t="shared" si="6"/>
        <v>165.57660000000004</v>
      </c>
      <c r="M25" s="576">
        <f t="shared" si="7"/>
        <v>6848.2481760000019</v>
      </c>
      <c r="N25" s="576">
        <f t="shared" si="8"/>
        <v>44699.058936000009</v>
      </c>
      <c r="O25" s="530"/>
      <c r="P25" s="529" t="s">
        <v>937</v>
      </c>
      <c r="Q25" s="165" t="s">
        <v>941</v>
      </c>
      <c r="R25" s="545">
        <v>76155.162510000009</v>
      </c>
      <c r="S25" s="546">
        <v>0.3</v>
      </c>
      <c r="T25" s="546">
        <v>0.6</v>
      </c>
      <c r="U25" s="568">
        <v>1560</v>
      </c>
      <c r="V25" s="550">
        <f t="shared" si="10"/>
        <v>48.82</v>
      </c>
      <c r="Y25" s="526"/>
    </row>
    <row r="26" spans="1:25">
      <c r="A26" s="570">
        <v>5</v>
      </c>
      <c r="B26" s="553" t="s">
        <v>942</v>
      </c>
      <c r="C26" s="529">
        <v>28407.75</v>
      </c>
      <c r="D26" s="529">
        <f t="shared" si="0"/>
        <v>3920.2695000000003</v>
      </c>
      <c r="E26" s="554">
        <f t="shared" si="1"/>
        <v>142.03874999999999</v>
      </c>
      <c r="F26" s="529">
        <f t="shared" si="2"/>
        <v>5874.7227000000003</v>
      </c>
      <c r="G26" s="555">
        <f t="shared" si="3"/>
        <v>38344.78095</v>
      </c>
      <c r="H26" s="575">
        <f t="shared" si="4"/>
        <v>28407.75</v>
      </c>
      <c r="I26" s="576">
        <v>5681.55</v>
      </c>
      <c r="J26" s="576">
        <f t="shared" si="5"/>
        <v>34089.300000000003</v>
      </c>
      <c r="K26" s="576">
        <f t="shared" si="9"/>
        <v>4704.3234000000011</v>
      </c>
      <c r="L26" s="576">
        <f t="shared" si="6"/>
        <v>170.44650000000001</v>
      </c>
      <c r="M26" s="576">
        <f t="shared" si="7"/>
        <v>7049.6672400000007</v>
      </c>
      <c r="N26" s="576">
        <f t="shared" si="8"/>
        <v>46013.737140000005</v>
      </c>
      <c r="O26" s="530"/>
      <c r="P26" s="529" t="s">
        <v>943</v>
      </c>
      <c r="Q26" s="165" t="s">
        <v>944</v>
      </c>
      <c r="R26" s="545">
        <v>78344.875560000015</v>
      </c>
      <c r="S26" s="546">
        <v>0.3</v>
      </c>
      <c r="T26" s="546">
        <v>0.6</v>
      </c>
      <c r="U26" s="568">
        <v>1560</v>
      </c>
      <c r="V26" s="550">
        <f t="shared" si="10"/>
        <v>50.22</v>
      </c>
      <c r="Y26" s="526"/>
    </row>
    <row r="27" spans="1:25">
      <c r="A27" s="570">
        <v>5</v>
      </c>
      <c r="B27" s="553" t="s">
        <v>945</v>
      </c>
      <c r="C27" s="529">
        <v>28407.75</v>
      </c>
      <c r="D27" s="529">
        <f t="shared" si="0"/>
        <v>3920.2695000000003</v>
      </c>
      <c r="E27" s="554">
        <f t="shared" si="1"/>
        <v>142.03874999999999</v>
      </c>
      <c r="F27" s="529">
        <f t="shared" si="2"/>
        <v>5874.7227000000003</v>
      </c>
      <c r="G27" s="555">
        <f t="shared" si="3"/>
        <v>38344.78095</v>
      </c>
      <c r="H27" s="575">
        <f t="shared" si="4"/>
        <v>28407.75</v>
      </c>
      <c r="I27" s="576">
        <v>5681.55</v>
      </c>
      <c r="J27" s="576">
        <f t="shared" si="5"/>
        <v>34089.300000000003</v>
      </c>
      <c r="K27" s="576">
        <f t="shared" si="9"/>
        <v>4704.3234000000011</v>
      </c>
      <c r="L27" s="576">
        <f t="shared" si="6"/>
        <v>170.44650000000001</v>
      </c>
      <c r="M27" s="576">
        <f t="shared" si="7"/>
        <v>7049.6672400000007</v>
      </c>
      <c r="N27" s="576">
        <f t="shared" si="8"/>
        <v>46013.737140000005</v>
      </c>
      <c r="O27" s="530"/>
      <c r="P27" s="529" t="s">
        <v>943</v>
      </c>
      <c r="Q27" s="165" t="s">
        <v>946</v>
      </c>
      <c r="R27" s="545">
        <v>78344.875560000015</v>
      </c>
      <c r="S27" s="546">
        <v>0.3</v>
      </c>
      <c r="T27" s="546">
        <v>0.6</v>
      </c>
      <c r="U27" s="568">
        <v>1560</v>
      </c>
      <c r="V27" s="550">
        <f t="shared" si="10"/>
        <v>50.22</v>
      </c>
      <c r="Y27" s="526"/>
    </row>
    <row r="28" spans="1:25">
      <c r="A28" s="570">
        <v>5</v>
      </c>
      <c r="B28" s="553" t="s">
        <v>947</v>
      </c>
      <c r="C28" s="529">
        <v>30639</v>
      </c>
      <c r="D28" s="529">
        <f t="shared" si="0"/>
        <v>4228.1820000000007</v>
      </c>
      <c r="E28" s="554">
        <f t="shared" si="1"/>
        <v>153.19499999999999</v>
      </c>
      <c r="F28" s="529">
        <f t="shared" si="2"/>
        <v>6336.1451999999999</v>
      </c>
      <c r="G28" s="555">
        <f t="shared" si="3"/>
        <v>41356.522199999999</v>
      </c>
      <c r="H28" s="575">
        <f t="shared" si="4"/>
        <v>30639</v>
      </c>
      <c r="I28" s="576">
        <v>6127.8</v>
      </c>
      <c r="J28" s="576">
        <f t="shared" si="5"/>
        <v>36766.800000000003</v>
      </c>
      <c r="K28" s="576">
        <f t="shared" si="9"/>
        <v>5073.818400000001</v>
      </c>
      <c r="L28" s="576">
        <f t="shared" si="6"/>
        <v>183.83400000000003</v>
      </c>
      <c r="M28" s="576">
        <f t="shared" si="7"/>
        <v>7603.374240000001</v>
      </c>
      <c r="N28" s="576">
        <f t="shared" si="8"/>
        <v>49627.826640000014</v>
      </c>
      <c r="O28" s="530"/>
      <c r="P28" s="529" t="s">
        <v>943</v>
      </c>
      <c r="Q28" s="165" t="s">
        <v>948</v>
      </c>
      <c r="R28" s="545">
        <v>91239.379980000012</v>
      </c>
      <c r="S28" s="546">
        <v>0.3</v>
      </c>
      <c r="T28" s="546">
        <v>0.6</v>
      </c>
      <c r="U28" s="568">
        <v>1560</v>
      </c>
      <c r="V28" s="550">
        <f t="shared" si="10"/>
        <v>58.49</v>
      </c>
      <c r="Y28" s="526"/>
    </row>
    <row r="29" spans="1:25">
      <c r="A29" s="570">
        <v>5</v>
      </c>
      <c r="B29" s="553" t="s">
        <v>949</v>
      </c>
      <c r="C29" s="529">
        <v>30639</v>
      </c>
      <c r="D29" s="529">
        <f t="shared" si="0"/>
        <v>4228.1820000000007</v>
      </c>
      <c r="E29" s="554">
        <f t="shared" si="1"/>
        <v>153.19499999999999</v>
      </c>
      <c r="F29" s="529">
        <f t="shared" si="2"/>
        <v>6336.1451999999999</v>
      </c>
      <c r="G29" s="555">
        <f t="shared" si="3"/>
        <v>41356.522199999999</v>
      </c>
      <c r="H29" s="575">
        <f t="shared" si="4"/>
        <v>30639</v>
      </c>
      <c r="I29" s="576">
        <v>6127.8</v>
      </c>
      <c r="J29" s="576">
        <f t="shared" si="5"/>
        <v>36766.800000000003</v>
      </c>
      <c r="K29" s="576">
        <f t="shared" si="9"/>
        <v>5073.818400000001</v>
      </c>
      <c r="L29" s="576">
        <f t="shared" si="6"/>
        <v>183.83400000000003</v>
      </c>
      <c r="M29" s="576">
        <f t="shared" si="7"/>
        <v>7603.374240000001</v>
      </c>
      <c r="N29" s="576">
        <f t="shared" si="8"/>
        <v>49627.826640000014</v>
      </c>
      <c r="O29" s="530"/>
      <c r="P29" s="529" t="s">
        <v>950</v>
      </c>
      <c r="Q29" s="165" t="s">
        <v>951</v>
      </c>
      <c r="R29" s="545">
        <v>93793.336559999996</v>
      </c>
      <c r="S29" s="546">
        <v>0.3</v>
      </c>
      <c r="T29" s="546">
        <v>0.6</v>
      </c>
      <c r="U29" s="568">
        <v>1560</v>
      </c>
      <c r="V29" s="550">
        <f t="shared" si="10"/>
        <v>60.12</v>
      </c>
      <c r="Y29" s="526"/>
    </row>
    <row r="30" spans="1:25">
      <c r="A30" s="570">
        <v>5</v>
      </c>
      <c r="B30" s="553" t="s">
        <v>952</v>
      </c>
      <c r="C30" s="529">
        <v>34580.700000000004</v>
      </c>
      <c r="D30" s="529">
        <f t="shared" si="0"/>
        <v>4772.1366000000007</v>
      </c>
      <c r="E30" s="554">
        <f t="shared" si="1"/>
        <v>172.90350000000004</v>
      </c>
      <c r="F30" s="529">
        <f t="shared" si="2"/>
        <v>7151.2887600000013</v>
      </c>
      <c r="G30" s="555">
        <f t="shared" si="3"/>
        <v>46677.028860000006</v>
      </c>
      <c r="H30" s="575">
        <f t="shared" si="4"/>
        <v>34580.700000000004</v>
      </c>
      <c r="I30" s="576">
        <v>6916.14</v>
      </c>
      <c r="J30" s="576">
        <f t="shared" si="5"/>
        <v>41496.840000000004</v>
      </c>
      <c r="K30" s="576">
        <f t="shared" si="9"/>
        <v>5726.5639200000014</v>
      </c>
      <c r="L30" s="576">
        <f t="shared" si="6"/>
        <v>207.48420000000002</v>
      </c>
      <c r="M30" s="576">
        <f t="shared" si="7"/>
        <v>8581.5465120000008</v>
      </c>
      <c r="N30" s="576">
        <f t="shared" si="8"/>
        <v>56012.434632000004</v>
      </c>
      <c r="O30" s="530"/>
      <c r="P30" s="529" t="s">
        <v>950</v>
      </c>
      <c r="Q30" s="165" t="s">
        <v>953</v>
      </c>
      <c r="R30" s="545">
        <v>93793.336559999996</v>
      </c>
      <c r="S30" s="546">
        <v>0.3</v>
      </c>
      <c r="T30" s="546">
        <v>0.6</v>
      </c>
      <c r="U30" s="568">
        <v>1560</v>
      </c>
      <c r="V30" s="550">
        <f t="shared" si="10"/>
        <v>60.12</v>
      </c>
      <c r="Y30" s="526"/>
    </row>
    <row r="31" spans="1:25">
      <c r="A31" s="570">
        <v>5</v>
      </c>
      <c r="B31" s="553" t="s">
        <v>954</v>
      </c>
      <c r="C31" s="529">
        <v>34580.700000000004</v>
      </c>
      <c r="D31" s="529">
        <f t="shared" si="0"/>
        <v>4772.1366000000007</v>
      </c>
      <c r="E31" s="554">
        <f t="shared" si="1"/>
        <v>172.90350000000004</v>
      </c>
      <c r="F31" s="529">
        <f t="shared" si="2"/>
        <v>7151.2887600000013</v>
      </c>
      <c r="G31" s="555">
        <f t="shared" si="3"/>
        <v>46677.028860000006</v>
      </c>
      <c r="H31" s="575">
        <f t="shared" si="4"/>
        <v>34580.700000000004</v>
      </c>
      <c r="I31" s="576">
        <v>6916.14</v>
      </c>
      <c r="J31" s="576">
        <f t="shared" si="5"/>
        <v>41496.840000000004</v>
      </c>
      <c r="K31" s="576">
        <f t="shared" si="9"/>
        <v>5726.5639200000014</v>
      </c>
      <c r="L31" s="576">
        <f t="shared" si="6"/>
        <v>207.48420000000002</v>
      </c>
      <c r="M31" s="576">
        <f t="shared" si="7"/>
        <v>8581.5465120000008</v>
      </c>
      <c r="N31" s="576">
        <f t="shared" si="8"/>
        <v>56012.434632000004</v>
      </c>
      <c r="O31" s="530"/>
      <c r="P31" s="529" t="s">
        <v>950</v>
      </c>
      <c r="Q31" s="165" t="s">
        <v>955</v>
      </c>
      <c r="R31" s="545">
        <v>108263.86746000001</v>
      </c>
      <c r="S31" s="546">
        <v>0.3</v>
      </c>
      <c r="T31" s="546">
        <v>0.6</v>
      </c>
      <c r="U31" s="568">
        <v>1560</v>
      </c>
      <c r="V31" s="550">
        <f t="shared" si="10"/>
        <v>69.400000000000006</v>
      </c>
      <c r="Y31" s="526"/>
    </row>
    <row r="32" spans="1:25">
      <c r="A32" s="570">
        <v>5</v>
      </c>
      <c r="B32" s="553" t="s">
        <v>956</v>
      </c>
      <c r="C32" s="529">
        <v>34580.700000000004</v>
      </c>
      <c r="D32" s="529">
        <f t="shared" si="0"/>
        <v>4772.1366000000007</v>
      </c>
      <c r="E32" s="554">
        <f t="shared" si="1"/>
        <v>172.90350000000004</v>
      </c>
      <c r="F32" s="529">
        <f t="shared" si="2"/>
        <v>7151.2887600000013</v>
      </c>
      <c r="G32" s="555">
        <f t="shared" si="3"/>
        <v>46677.028860000006</v>
      </c>
      <c r="H32" s="575">
        <f t="shared" si="4"/>
        <v>34580.700000000004</v>
      </c>
      <c r="I32" s="576">
        <v>6916.14</v>
      </c>
      <c r="J32" s="576">
        <f t="shared" si="5"/>
        <v>41496.840000000004</v>
      </c>
      <c r="K32" s="576">
        <f t="shared" si="9"/>
        <v>5726.5639200000014</v>
      </c>
      <c r="L32" s="576">
        <f t="shared" si="6"/>
        <v>207.48420000000002</v>
      </c>
      <c r="M32" s="576">
        <f t="shared" si="7"/>
        <v>8581.5465120000008</v>
      </c>
      <c r="N32" s="576">
        <f t="shared" si="8"/>
        <v>56012.434632000004</v>
      </c>
      <c r="O32" s="530"/>
      <c r="P32" s="529" t="s">
        <v>957</v>
      </c>
      <c r="Q32" s="165" t="s">
        <v>958</v>
      </c>
      <c r="R32" s="545">
        <v>111549.14568</v>
      </c>
      <c r="S32" s="546">
        <v>0.3</v>
      </c>
      <c r="T32" s="546">
        <v>0.6</v>
      </c>
      <c r="U32" s="568">
        <v>1560</v>
      </c>
      <c r="V32" s="550">
        <f t="shared" si="10"/>
        <v>71.510000000000005</v>
      </c>
      <c r="Y32" s="526"/>
    </row>
    <row r="33" spans="1:25">
      <c r="A33" s="570">
        <v>5</v>
      </c>
      <c r="B33" s="553" t="s">
        <v>959</v>
      </c>
      <c r="C33" s="529">
        <v>34580.700000000004</v>
      </c>
      <c r="D33" s="529">
        <f t="shared" si="0"/>
        <v>4772.1366000000007</v>
      </c>
      <c r="E33" s="554">
        <f t="shared" si="1"/>
        <v>172.90350000000004</v>
      </c>
      <c r="F33" s="529">
        <f t="shared" si="2"/>
        <v>7151.2887600000013</v>
      </c>
      <c r="G33" s="555">
        <f t="shared" si="3"/>
        <v>46677.028860000006</v>
      </c>
      <c r="H33" s="575">
        <f t="shared" si="4"/>
        <v>34580.700000000004</v>
      </c>
      <c r="I33" s="576">
        <v>6916.14</v>
      </c>
      <c r="J33" s="576">
        <f t="shared" si="5"/>
        <v>41496.840000000004</v>
      </c>
      <c r="K33" s="576">
        <f t="shared" si="9"/>
        <v>5726.5639200000014</v>
      </c>
      <c r="L33" s="576">
        <f t="shared" si="6"/>
        <v>207.48420000000002</v>
      </c>
      <c r="M33" s="576">
        <f t="shared" si="7"/>
        <v>8581.5465120000008</v>
      </c>
      <c r="N33" s="576">
        <f t="shared" si="8"/>
        <v>56012.434632000004</v>
      </c>
      <c r="O33" s="530"/>
      <c r="P33" s="529" t="s">
        <v>957</v>
      </c>
      <c r="Q33" s="165" t="s">
        <v>960</v>
      </c>
      <c r="R33" s="545">
        <v>111549.14568</v>
      </c>
      <c r="S33" s="546">
        <v>0.3</v>
      </c>
      <c r="T33" s="546">
        <v>0.6</v>
      </c>
      <c r="U33" s="568">
        <v>1560</v>
      </c>
      <c r="V33" s="550">
        <f t="shared" si="10"/>
        <v>71.510000000000005</v>
      </c>
      <c r="Y33" s="526"/>
    </row>
    <row r="34" spans="1:25">
      <c r="A34" s="570">
        <v>6</v>
      </c>
      <c r="B34" s="553" t="s">
        <v>961</v>
      </c>
      <c r="C34" s="529">
        <v>35391.300000000003</v>
      </c>
      <c r="D34" s="529">
        <f t="shared" si="0"/>
        <v>4883.9994000000006</v>
      </c>
      <c r="E34" s="554">
        <f t="shared" si="1"/>
        <v>176.95650000000001</v>
      </c>
      <c r="F34" s="529">
        <f t="shared" si="2"/>
        <v>7318.9208400000007</v>
      </c>
      <c r="G34" s="555">
        <f t="shared" si="3"/>
        <v>47771.176740000003</v>
      </c>
      <c r="H34" s="575">
        <f t="shared" si="4"/>
        <v>35391.300000000003</v>
      </c>
      <c r="I34" s="576">
        <v>7078.2600000000011</v>
      </c>
      <c r="J34" s="576">
        <f t="shared" si="5"/>
        <v>42469.560000000005</v>
      </c>
      <c r="K34" s="576">
        <f t="shared" si="9"/>
        <v>5860.7992800000011</v>
      </c>
      <c r="L34" s="576">
        <f t="shared" si="6"/>
        <v>212.34780000000003</v>
      </c>
      <c r="M34" s="576">
        <f t="shared" si="7"/>
        <v>8782.7050080000008</v>
      </c>
      <c r="N34" s="576">
        <f t="shared" si="8"/>
        <v>57325.412088000012</v>
      </c>
      <c r="O34" s="530"/>
      <c r="P34" s="529" t="s">
        <v>957</v>
      </c>
      <c r="Q34" s="165" t="s">
        <v>962</v>
      </c>
      <c r="R34" s="545">
        <v>128832.99723000001</v>
      </c>
      <c r="S34" s="546">
        <v>0.3</v>
      </c>
      <c r="T34" s="546">
        <v>0.6</v>
      </c>
      <c r="U34" s="568">
        <v>1560</v>
      </c>
      <c r="V34" s="550">
        <f t="shared" si="10"/>
        <v>82.59</v>
      </c>
      <c r="Y34" s="526"/>
    </row>
    <row r="35" spans="1:25">
      <c r="A35" s="570">
        <v>6</v>
      </c>
      <c r="B35" s="553" t="s">
        <v>963</v>
      </c>
      <c r="C35" s="529">
        <v>35391.300000000003</v>
      </c>
      <c r="D35" s="529">
        <f t="shared" si="0"/>
        <v>4883.9994000000006</v>
      </c>
      <c r="E35" s="554">
        <f t="shared" si="1"/>
        <v>176.95650000000001</v>
      </c>
      <c r="F35" s="529">
        <f t="shared" si="2"/>
        <v>7318.9208400000007</v>
      </c>
      <c r="G35" s="555">
        <f t="shared" si="3"/>
        <v>47771.176740000003</v>
      </c>
      <c r="H35" s="575">
        <f t="shared" si="4"/>
        <v>35391.300000000003</v>
      </c>
      <c r="I35" s="576">
        <v>7078.2600000000011</v>
      </c>
      <c r="J35" s="576">
        <f t="shared" si="5"/>
        <v>42469.560000000005</v>
      </c>
      <c r="K35" s="576">
        <f t="shared" si="9"/>
        <v>5860.7992800000011</v>
      </c>
      <c r="L35" s="576">
        <f t="shared" si="6"/>
        <v>212.34780000000003</v>
      </c>
      <c r="M35" s="576">
        <f t="shared" si="7"/>
        <v>8782.7050080000008</v>
      </c>
      <c r="N35" s="576">
        <f t="shared" si="8"/>
        <v>57325.412088000012</v>
      </c>
      <c r="O35" s="530"/>
      <c r="P35" s="529" t="s">
        <v>964</v>
      </c>
      <c r="Q35" s="165" t="s">
        <v>965</v>
      </c>
      <c r="R35" s="545">
        <v>133578.08415000001</v>
      </c>
      <c r="S35" s="546">
        <v>0.3</v>
      </c>
      <c r="T35" s="546">
        <v>0.6</v>
      </c>
      <c r="U35" s="568">
        <v>1560</v>
      </c>
      <c r="V35" s="550">
        <f t="shared" si="10"/>
        <v>85.63</v>
      </c>
      <c r="Y35" s="526"/>
    </row>
    <row r="36" spans="1:25">
      <c r="A36" s="570">
        <v>6</v>
      </c>
      <c r="B36" s="553" t="s">
        <v>966</v>
      </c>
      <c r="C36" s="529">
        <v>37350.6</v>
      </c>
      <c r="D36" s="529">
        <f t="shared" si="0"/>
        <v>5154.3828000000003</v>
      </c>
      <c r="E36" s="554">
        <f t="shared" si="1"/>
        <v>186.75299999999999</v>
      </c>
      <c r="F36" s="529">
        <f t="shared" si="2"/>
        <v>7724.1040800000001</v>
      </c>
      <c r="G36" s="555">
        <f t="shared" si="3"/>
        <v>50415.839879999992</v>
      </c>
      <c r="H36" s="575">
        <f t="shared" si="4"/>
        <v>37350.6</v>
      </c>
      <c r="I36" s="576">
        <v>7470.1200000000008</v>
      </c>
      <c r="J36" s="576">
        <f t="shared" si="5"/>
        <v>44820.72</v>
      </c>
      <c r="K36" s="576">
        <f t="shared" si="9"/>
        <v>6185.2593600000009</v>
      </c>
      <c r="L36" s="576">
        <f t="shared" si="6"/>
        <v>224.1036</v>
      </c>
      <c r="M36" s="576">
        <f t="shared" si="7"/>
        <v>9268.9248960000004</v>
      </c>
      <c r="N36" s="576">
        <f t="shared" si="8"/>
        <v>60499.007856000011</v>
      </c>
      <c r="O36" s="530"/>
      <c r="P36" s="529" t="s">
        <v>964</v>
      </c>
      <c r="Q36" s="165" t="s">
        <v>967</v>
      </c>
      <c r="R36" s="545">
        <v>133578.08415000001</v>
      </c>
      <c r="S36" s="546">
        <v>0.3</v>
      </c>
      <c r="T36" s="546">
        <v>0.6</v>
      </c>
      <c r="U36" s="568">
        <v>1560</v>
      </c>
      <c r="V36" s="550">
        <f t="shared" si="10"/>
        <v>85.63</v>
      </c>
      <c r="Y36" s="526"/>
    </row>
    <row r="37" spans="1:25">
      <c r="A37" s="570">
        <v>6</v>
      </c>
      <c r="B37" s="553" t="s">
        <v>968</v>
      </c>
      <c r="C37" s="529">
        <v>37350.6</v>
      </c>
      <c r="D37" s="529">
        <f t="shared" ref="D37:D68" si="11">(C37-$B$109)*0.138</f>
        <v>5154.3828000000003</v>
      </c>
      <c r="E37" s="554">
        <f t="shared" si="1"/>
        <v>186.75299999999999</v>
      </c>
      <c r="F37" s="529">
        <f t="shared" si="2"/>
        <v>7724.1040800000001</v>
      </c>
      <c r="G37" s="555">
        <f t="shared" si="3"/>
        <v>50415.839879999992</v>
      </c>
      <c r="H37" s="575">
        <f t="shared" si="4"/>
        <v>37350.6</v>
      </c>
      <c r="I37" s="576">
        <v>7470.1200000000008</v>
      </c>
      <c r="J37" s="576">
        <f t="shared" si="5"/>
        <v>44820.72</v>
      </c>
      <c r="K37" s="576">
        <f t="shared" si="9"/>
        <v>6185.2593600000009</v>
      </c>
      <c r="L37" s="576">
        <f t="shared" si="6"/>
        <v>224.1036</v>
      </c>
      <c r="M37" s="576">
        <f t="shared" si="7"/>
        <v>9268.9248960000004</v>
      </c>
      <c r="N37" s="576">
        <f t="shared" si="8"/>
        <v>60499.007856000011</v>
      </c>
      <c r="O37" s="530"/>
      <c r="P37" s="529" t="s">
        <v>964</v>
      </c>
      <c r="Q37" s="165" t="s">
        <v>969</v>
      </c>
      <c r="R37" s="545">
        <v>153902.02275</v>
      </c>
      <c r="S37" s="546">
        <v>0.3</v>
      </c>
      <c r="T37" s="546">
        <v>0.6</v>
      </c>
      <c r="U37" s="568">
        <v>1560</v>
      </c>
      <c r="V37" s="550">
        <f t="shared" si="10"/>
        <v>98.66</v>
      </c>
      <c r="Y37" s="526"/>
    </row>
    <row r="38" spans="1:25">
      <c r="A38" s="570">
        <v>6</v>
      </c>
      <c r="B38" s="553" t="s">
        <v>970</v>
      </c>
      <c r="C38" s="529">
        <v>37350.6</v>
      </c>
      <c r="D38" s="529">
        <f t="shared" si="11"/>
        <v>5154.3828000000003</v>
      </c>
      <c r="E38" s="554">
        <f t="shared" si="1"/>
        <v>186.75299999999999</v>
      </c>
      <c r="F38" s="529">
        <f t="shared" si="2"/>
        <v>7724.1040800000001</v>
      </c>
      <c r="G38" s="555">
        <f t="shared" si="3"/>
        <v>50415.839879999992</v>
      </c>
      <c r="H38" s="575">
        <f t="shared" si="4"/>
        <v>37350.6</v>
      </c>
      <c r="I38" s="576">
        <v>7470.1200000000008</v>
      </c>
      <c r="J38" s="576">
        <f t="shared" si="5"/>
        <v>44820.72</v>
      </c>
      <c r="K38" s="576">
        <f t="shared" si="9"/>
        <v>6185.2593600000009</v>
      </c>
      <c r="L38" s="576">
        <f t="shared" si="6"/>
        <v>224.1036</v>
      </c>
      <c r="M38" s="576">
        <f t="shared" si="7"/>
        <v>9268.9248960000004</v>
      </c>
      <c r="N38" s="576">
        <f t="shared" si="8"/>
        <v>60499.007856000011</v>
      </c>
      <c r="O38" s="530"/>
      <c r="P38" s="529" t="s">
        <v>971</v>
      </c>
      <c r="Q38" s="165" t="s">
        <v>972</v>
      </c>
      <c r="R38" s="545">
        <f>G82</f>
        <v>119273.72720000001</v>
      </c>
      <c r="S38" s="547">
        <v>0</v>
      </c>
      <c r="T38" s="547">
        <v>0</v>
      </c>
      <c r="U38" s="568">
        <v>1376</v>
      </c>
      <c r="V38" s="550">
        <f t="shared" si="10"/>
        <v>86.68</v>
      </c>
      <c r="Y38" s="526"/>
    </row>
    <row r="39" spans="1:25">
      <c r="A39" s="570">
        <v>6</v>
      </c>
      <c r="B39" s="553" t="s">
        <v>973</v>
      </c>
      <c r="C39" s="529">
        <v>42617.4</v>
      </c>
      <c r="D39" s="529">
        <f t="shared" si="11"/>
        <v>5881.2012000000004</v>
      </c>
      <c r="E39" s="554">
        <f t="shared" si="1"/>
        <v>213.08700000000002</v>
      </c>
      <c r="F39" s="529">
        <f t="shared" si="2"/>
        <v>8813.2783200000013</v>
      </c>
      <c r="G39" s="555">
        <f t="shared" si="3"/>
        <v>57524.966520000002</v>
      </c>
      <c r="H39" s="575">
        <f t="shared" si="4"/>
        <v>42617.4</v>
      </c>
      <c r="I39" s="576">
        <v>7745.85</v>
      </c>
      <c r="J39" s="576">
        <f t="shared" si="5"/>
        <v>50363.25</v>
      </c>
      <c r="K39" s="576">
        <f t="shared" si="9"/>
        <v>6950.1285000000007</v>
      </c>
      <c r="L39" s="576">
        <f t="shared" si="6"/>
        <v>251.81625</v>
      </c>
      <c r="M39" s="576">
        <f t="shared" si="7"/>
        <v>10415.1201</v>
      </c>
      <c r="N39" s="576">
        <f t="shared" si="8"/>
        <v>67980.314849999995</v>
      </c>
      <c r="O39" s="530"/>
      <c r="P39" s="529" t="s">
        <v>971</v>
      </c>
      <c r="Q39" s="165" t="s">
        <v>116</v>
      </c>
      <c r="R39" s="545">
        <f>G91</f>
        <v>143073.4008</v>
      </c>
      <c r="S39" s="547">
        <v>0</v>
      </c>
      <c r="T39" s="547">
        <v>0</v>
      </c>
      <c r="U39" s="568">
        <v>1376</v>
      </c>
      <c r="V39" s="550">
        <f t="shared" si="10"/>
        <v>103.98</v>
      </c>
      <c r="Y39" s="526"/>
    </row>
    <row r="40" spans="1:25">
      <c r="A40" s="570">
        <v>6</v>
      </c>
      <c r="B40" s="553" t="s">
        <v>974</v>
      </c>
      <c r="C40" s="529">
        <v>42617.4</v>
      </c>
      <c r="D40" s="529">
        <f t="shared" si="11"/>
        <v>5881.2012000000004</v>
      </c>
      <c r="E40" s="554">
        <f t="shared" si="1"/>
        <v>213.08700000000002</v>
      </c>
      <c r="F40" s="529">
        <f t="shared" si="2"/>
        <v>8813.2783200000013</v>
      </c>
      <c r="G40" s="555">
        <f t="shared" si="3"/>
        <v>57524.966520000002</v>
      </c>
      <c r="H40" s="575">
        <f t="shared" si="4"/>
        <v>42617.4</v>
      </c>
      <c r="I40" s="576">
        <v>7745.85</v>
      </c>
      <c r="J40" s="576">
        <f t="shared" si="5"/>
        <v>50363.25</v>
      </c>
      <c r="K40" s="576">
        <f t="shared" si="9"/>
        <v>6950.1285000000007</v>
      </c>
      <c r="L40" s="576">
        <f t="shared" si="6"/>
        <v>251.81625</v>
      </c>
      <c r="M40" s="576">
        <f t="shared" si="7"/>
        <v>10415.1201</v>
      </c>
      <c r="N40" s="576">
        <f t="shared" si="8"/>
        <v>67980.314849999995</v>
      </c>
      <c r="O40" s="530"/>
      <c r="P40" s="529" t="s">
        <v>971</v>
      </c>
      <c r="Q40" s="165" t="s">
        <v>975</v>
      </c>
      <c r="R40" s="545">
        <f>G100</f>
        <v>160805.72340000002</v>
      </c>
      <c r="S40" s="547">
        <v>0</v>
      </c>
      <c r="T40" s="547">
        <v>0</v>
      </c>
      <c r="U40" s="568">
        <v>1376</v>
      </c>
      <c r="V40" s="550">
        <f t="shared" si="10"/>
        <v>116.86</v>
      </c>
      <c r="Y40" s="526"/>
    </row>
    <row r="41" spans="1:25">
      <c r="A41" s="570">
        <v>6</v>
      </c>
      <c r="B41" s="553" t="s">
        <v>976</v>
      </c>
      <c r="C41" s="529">
        <v>42617.4</v>
      </c>
      <c r="D41" s="529">
        <f t="shared" si="11"/>
        <v>5881.2012000000004</v>
      </c>
      <c r="E41" s="554">
        <f t="shared" si="1"/>
        <v>213.08700000000002</v>
      </c>
      <c r="F41" s="529">
        <f t="shared" si="2"/>
        <v>8813.2783200000013</v>
      </c>
      <c r="G41" s="555">
        <f t="shared" si="3"/>
        <v>57524.966520000002</v>
      </c>
      <c r="H41" s="575">
        <f t="shared" si="4"/>
        <v>42617.4</v>
      </c>
      <c r="I41" s="576">
        <v>7745.85</v>
      </c>
      <c r="J41" s="576">
        <f t="shared" si="5"/>
        <v>50363.25</v>
      </c>
      <c r="K41" s="576">
        <f t="shared" si="9"/>
        <v>6950.1285000000007</v>
      </c>
      <c r="L41" s="576">
        <f t="shared" si="6"/>
        <v>251.81625</v>
      </c>
      <c r="M41" s="576">
        <f t="shared" si="7"/>
        <v>10415.1201</v>
      </c>
      <c r="N41" s="576">
        <f t="shared" si="8"/>
        <v>67980.314849999995</v>
      </c>
      <c r="O41" s="530"/>
      <c r="P41" s="529" t="s">
        <v>977</v>
      </c>
      <c r="Q41" s="165" t="s">
        <v>978</v>
      </c>
      <c r="R41" s="545">
        <f>E105</f>
        <v>205803.51999999999</v>
      </c>
      <c r="S41" s="547">
        <v>0</v>
      </c>
      <c r="T41" s="547">
        <v>0</v>
      </c>
      <c r="U41" s="568">
        <v>1287</v>
      </c>
      <c r="V41" s="550">
        <f t="shared" si="10"/>
        <v>159.91</v>
      </c>
      <c r="Y41" s="526"/>
    </row>
    <row r="42" spans="1:25">
      <c r="A42" s="570">
        <v>6</v>
      </c>
      <c r="B42" s="553" t="s">
        <v>979</v>
      </c>
      <c r="C42" s="529">
        <v>42617.4</v>
      </c>
      <c r="D42" s="529">
        <f t="shared" si="11"/>
        <v>5881.2012000000004</v>
      </c>
      <c r="E42" s="554">
        <f t="shared" si="1"/>
        <v>213.08700000000002</v>
      </c>
      <c r="F42" s="529">
        <f t="shared" si="2"/>
        <v>8813.2783200000013</v>
      </c>
      <c r="G42" s="555">
        <f t="shared" si="3"/>
        <v>57524.966520000002</v>
      </c>
      <c r="H42" s="575">
        <f t="shared" si="4"/>
        <v>42617.4</v>
      </c>
      <c r="I42" s="576">
        <v>7745.85</v>
      </c>
      <c r="J42" s="576">
        <f t="shared" si="5"/>
        <v>50363.25</v>
      </c>
      <c r="K42" s="576">
        <f t="shared" si="9"/>
        <v>6950.1285000000007</v>
      </c>
      <c r="L42" s="576">
        <f t="shared" si="6"/>
        <v>251.81625</v>
      </c>
      <c r="M42" s="576">
        <f t="shared" si="7"/>
        <v>10415.1201</v>
      </c>
      <c r="N42" s="576">
        <f t="shared" si="8"/>
        <v>67980.314849999995</v>
      </c>
      <c r="O42" s="530"/>
      <c r="P42" s="209"/>
      <c r="R42"/>
    </row>
    <row r="43" spans="1:25">
      <c r="A43" s="570">
        <v>7</v>
      </c>
      <c r="B43" s="553" t="s">
        <v>980</v>
      </c>
      <c r="C43" s="529">
        <v>43741.950000000004</v>
      </c>
      <c r="D43" s="529">
        <f t="shared" si="11"/>
        <v>6036.3891000000012</v>
      </c>
      <c r="E43" s="554">
        <f t="shared" si="1"/>
        <v>218.70975000000001</v>
      </c>
      <c r="F43" s="529">
        <f t="shared" si="2"/>
        <v>9045.8352600000017</v>
      </c>
      <c r="G43" s="555">
        <f t="shared" si="3"/>
        <v>59042.884110000006</v>
      </c>
      <c r="H43" s="575">
        <f t="shared" si="4"/>
        <v>43741.950000000004</v>
      </c>
      <c r="I43" s="576">
        <v>7745.85</v>
      </c>
      <c r="J43" s="576">
        <f t="shared" si="5"/>
        <v>51487.8</v>
      </c>
      <c r="K43" s="576">
        <f t="shared" si="9"/>
        <v>7105.3164000000006</v>
      </c>
      <c r="L43" s="576">
        <f t="shared" si="6"/>
        <v>257.43900000000002</v>
      </c>
      <c r="M43" s="576">
        <f>J43*0.2068</f>
        <v>10647.67704</v>
      </c>
      <c r="N43" s="576">
        <f t="shared" si="8"/>
        <v>69498.232440000007</v>
      </c>
      <c r="O43" s="530"/>
      <c r="P43" s="209"/>
      <c r="R43"/>
    </row>
    <row r="44" spans="1:25">
      <c r="A44" s="570">
        <v>7</v>
      </c>
      <c r="B44" s="553" t="s">
        <v>981</v>
      </c>
      <c r="C44" s="529">
        <v>43741.950000000004</v>
      </c>
      <c r="D44" s="529">
        <f t="shared" si="11"/>
        <v>6036.3891000000012</v>
      </c>
      <c r="E44" s="554">
        <f t="shared" si="1"/>
        <v>218.70975000000001</v>
      </c>
      <c r="F44" s="529">
        <f t="shared" si="2"/>
        <v>9045.8352600000017</v>
      </c>
      <c r="G44" s="555">
        <f t="shared" si="3"/>
        <v>59042.884110000006</v>
      </c>
      <c r="H44" s="575">
        <f t="shared" si="4"/>
        <v>43741.950000000004</v>
      </c>
      <c r="I44" s="576">
        <v>7745.85</v>
      </c>
      <c r="J44" s="576">
        <f t="shared" si="5"/>
        <v>51487.8</v>
      </c>
      <c r="K44" s="576">
        <f t="shared" si="9"/>
        <v>7105.3164000000006</v>
      </c>
      <c r="L44" s="576">
        <f t="shared" si="6"/>
        <v>257.43900000000002</v>
      </c>
      <c r="M44" s="576">
        <f t="shared" si="7"/>
        <v>10647.67704</v>
      </c>
      <c r="N44" s="576">
        <f t="shared" si="8"/>
        <v>69498.232440000007</v>
      </c>
      <c r="O44" s="530"/>
    </row>
    <row r="45" spans="1:25">
      <c r="A45" s="570">
        <v>7</v>
      </c>
      <c r="B45" s="553" t="s">
        <v>982</v>
      </c>
      <c r="C45" s="529">
        <v>45996.3</v>
      </c>
      <c r="D45" s="529">
        <f t="shared" si="11"/>
        <v>6347.4894000000013</v>
      </c>
      <c r="E45" s="554">
        <f t="shared" si="1"/>
        <v>229.98150000000001</v>
      </c>
      <c r="F45" s="529">
        <f t="shared" si="2"/>
        <v>9512.0348400000003</v>
      </c>
      <c r="G45" s="555">
        <f t="shared" si="3"/>
        <v>62085.805740000003</v>
      </c>
      <c r="H45" s="575">
        <f t="shared" si="4"/>
        <v>45996.3</v>
      </c>
      <c r="I45" s="576">
        <v>7745.85</v>
      </c>
      <c r="J45" s="576">
        <f t="shared" si="5"/>
        <v>53742.15</v>
      </c>
      <c r="K45" s="576">
        <f t="shared" si="9"/>
        <v>7416.4167000000007</v>
      </c>
      <c r="L45" s="576">
        <f t="shared" si="6"/>
        <v>268.71075000000002</v>
      </c>
      <c r="M45" s="576">
        <f t="shared" si="7"/>
        <v>11113.876620000001</v>
      </c>
      <c r="N45" s="576">
        <f t="shared" si="8"/>
        <v>72541.154070000004</v>
      </c>
      <c r="O45" s="530"/>
      <c r="P45" s="188"/>
      <c r="Q45" s="378"/>
      <c r="R45" s="656"/>
      <c r="S45" s="378"/>
      <c r="T45" s="378"/>
      <c r="U45" s="378"/>
      <c r="V45" s="173"/>
    </row>
    <row r="46" spans="1:25">
      <c r="A46" s="570">
        <v>7</v>
      </c>
      <c r="B46" s="553" t="s">
        <v>983</v>
      </c>
      <c r="C46" s="529">
        <v>45996.3</v>
      </c>
      <c r="D46" s="529">
        <f t="shared" si="11"/>
        <v>6347.4894000000013</v>
      </c>
      <c r="E46" s="554">
        <f t="shared" si="1"/>
        <v>229.98150000000001</v>
      </c>
      <c r="F46" s="529">
        <f t="shared" si="2"/>
        <v>9512.0348400000003</v>
      </c>
      <c r="G46" s="555">
        <f t="shared" si="3"/>
        <v>62085.805740000003</v>
      </c>
      <c r="H46" s="575">
        <f t="shared" si="4"/>
        <v>45996.3</v>
      </c>
      <c r="I46" s="576">
        <v>7745.85</v>
      </c>
      <c r="J46" s="576">
        <f t="shared" si="5"/>
        <v>53742.15</v>
      </c>
      <c r="K46" s="576">
        <f t="shared" si="9"/>
        <v>7416.4167000000007</v>
      </c>
      <c r="L46" s="576">
        <f t="shared" si="6"/>
        <v>268.71075000000002</v>
      </c>
      <c r="M46" s="576">
        <f t="shared" si="7"/>
        <v>11113.876620000001</v>
      </c>
      <c r="N46" s="576">
        <f t="shared" si="8"/>
        <v>72541.154070000004</v>
      </c>
      <c r="O46" s="530"/>
      <c r="P46" s="176" t="s">
        <v>1109</v>
      </c>
      <c r="V46" s="175"/>
    </row>
    <row r="47" spans="1:25">
      <c r="A47" s="570">
        <v>7</v>
      </c>
      <c r="B47" s="553" t="s">
        <v>984</v>
      </c>
      <c r="C47" s="529">
        <v>45996.3</v>
      </c>
      <c r="D47" s="529">
        <f t="shared" si="11"/>
        <v>6347.4894000000013</v>
      </c>
      <c r="E47" s="554">
        <f t="shared" si="1"/>
        <v>229.98150000000001</v>
      </c>
      <c r="F47" s="529">
        <f t="shared" si="2"/>
        <v>9512.0348400000003</v>
      </c>
      <c r="G47" s="555">
        <f t="shared" si="3"/>
        <v>62085.805740000003</v>
      </c>
      <c r="H47" s="575">
        <f t="shared" si="4"/>
        <v>45996.3</v>
      </c>
      <c r="I47" s="576">
        <v>7745.85</v>
      </c>
      <c r="J47" s="576">
        <f t="shared" si="5"/>
        <v>53742.15</v>
      </c>
      <c r="K47" s="576">
        <f t="shared" si="9"/>
        <v>7416.4167000000007</v>
      </c>
      <c r="L47" s="576">
        <f t="shared" si="6"/>
        <v>268.71075000000002</v>
      </c>
      <c r="M47" s="576">
        <f t="shared" si="7"/>
        <v>11113.876620000001</v>
      </c>
      <c r="N47" s="576">
        <f t="shared" si="8"/>
        <v>72541.154070000004</v>
      </c>
      <c r="O47" s="530"/>
      <c r="P47" s="176"/>
      <c r="V47" s="175"/>
    </row>
    <row r="48" spans="1:25">
      <c r="A48" s="570">
        <v>7</v>
      </c>
      <c r="B48" s="553" t="s">
        <v>985</v>
      </c>
      <c r="C48" s="529">
        <v>50055.6</v>
      </c>
      <c r="D48" s="529">
        <f t="shared" si="11"/>
        <v>6907.6728000000003</v>
      </c>
      <c r="E48" s="554">
        <f t="shared" si="1"/>
        <v>250.27799999999999</v>
      </c>
      <c r="F48" s="529">
        <f t="shared" si="2"/>
        <v>10351.498079999999</v>
      </c>
      <c r="G48" s="555">
        <f t="shared" si="3"/>
        <v>67565.048880000002</v>
      </c>
      <c r="H48" s="575">
        <f t="shared" si="4"/>
        <v>50055.6</v>
      </c>
      <c r="I48" s="576">
        <v>7745.85</v>
      </c>
      <c r="J48" s="576">
        <f t="shared" si="5"/>
        <v>57801.45</v>
      </c>
      <c r="K48" s="576">
        <f t="shared" si="9"/>
        <v>7976.6001000000006</v>
      </c>
      <c r="L48" s="576">
        <f t="shared" si="6"/>
        <v>289.00725</v>
      </c>
      <c r="M48" s="576">
        <f t="shared" si="7"/>
        <v>11953.33986</v>
      </c>
      <c r="N48" s="576">
        <f t="shared" si="8"/>
        <v>78020.397209999996</v>
      </c>
      <c r="O48" s="530"/>
      <c r="P48" s="657" t="s">
        <v>1110</v>
      </c>
      <c r="V48" s="175"/>
    </row>
    <row r="49" spans="1:22">
      <c r="A49" s="570">
        <v>7</v>
      </c>
      <c r="B49" s="553" t="s">
        <v>986</v>
      </c>
      <c r="C49" s="529">
        <v>50055.6</v>
      </c>
      <c r="D49" s="529">
        <f t="shared" si="11"/>
        <v>6907.6728000000003</v>
      </c>
      <c r="E49" s="554">
        <f t="shared" si="1"/>
        <v>250.27799999999999</v>
      </c>
      <c r="F49" s="529">
        <f t="shared" si="2"/>
        <v>10351.498079999999</v>
      </c>
      <c r="G49" s="555">
        <f t="shared" si="3"/>
        <v>67565.048880000002</v>
      </c>
      <c r="H49" s="575">
        <f t="shared" si="4"/>
        <v>50055.6</v>
      </c>
      <c r="I49" s="576">
        <v>7745.85</v>
      </c>
      <c r="J49" s="576">
        <f t="shared" si="5"/>
        <v>57801.45</v>
      </c>
      <c r="K49" s="576">
        <f t="shared" si="9"/>
        <v>7976.6001000000006</v>
      </c>
      <c r="L49" s="576">
        <f t="shared" si="6"/>
        <v>289.00725</v>
      </c>
      <c r="M49" s="576">
        <f t="shared" si="7"/>
        <v>11953.33986</v>
      </c>
      <c r="N49" s="576">
        <f t="shared" si="8"/>
        <v>78020.397209999996</v>
      </c>
      <c r="O49" s="530"/>
      <c r="P49" s="658" t="s">
        <v>1111</v>
      </c>
      <c r="U49">
        <v>260</v>
      </c>
      <c r="V49" s="175"/>
    </row>
    <row r="50" spans="1:22">
      <c r="A50" s="570">
        <v>7</v>
      </c>
      <c r="B50" s="553" t="s">
        <v>987</v>
      </c>
      <c r="C50" s="529">
        <v>50055.6</v>
      </c>
      <c r="D50" s="529">
        <f t="shared" si="11"/>
        <v>6907.6728000000003</v>
      </c>
      <c r="E50" s="554">
        <f t="shared" si="1"/>
        <v>250.27799999999999</v>
      </c>
      <c r="F50" s="529">
        <f t="shared" si="2"/>
        <v>10351.498079999999</v>
      </c>
      <c r="G50" s="555">
        <f t="shared" si="3"/>
        <v>67565.048880000002</v>
      </c>
      <c r="H50" s="575">
        <f t="shared" si="4"/>
        <v>50055.6</v>
      </c>
      <c r="I50" s="576">
        <v>7745.85</v>
      </c>
      <c r="J50" s="576">
        <f t="shared" si="5"/>
        <v>57801.45</v>
      </c>
      <c r="K50" s="576">
        <f t="shared" si="9"/>
        <v>7976.6001000000006</v>
      </c>
      <c r="L50" s="576">
        <f t="shared" si="6"/>
        <v>289.00725</v>
      </c>
      <c r="M50" s="576">
        <f t="shared" si="7"/>
        <v>11953.33986</v>
      </c>
      <c r="N50" s="576">
        <f t="shared" si="8"/>
        <v>78020.397209999996</v>
      </c>
      <c r="O50" s="530"/>
      <c r="P50" s="658" t="s">
        <v>1112</v>
      </c>
      <c r="U50">
        <v>-40</v>
      </c>
      <c r="V50" s="175"/>
    </row>
    <row r="51" spans="1:22">
      <c r="A51" s="570">
        <v>7</v>
      </c>
      <c r="B51" s="553" t="s">
        <v>988</v>
      </c>
      <c r="C51" s="529">
        <v>50055.6</v>
      </c>
      <c r="D51" s="529">
        <f t="shared" si="11"/>
        <v>6907.6728000000003</v>
      </c>
      <c r="E51" s="554">
        <f t="shared" si="1"/>
        <v>250.27799999999999</v>
      </c>
      <c r="F51" s="529">
        <f t="shared" si="2"/>
        <v>10351.498079999999</v>
      </c>
      <c r="G51" s="555">
        <f t="shared" si="3"/>
        <v>67565.048880000002</v>
      </c>
      <c r="H51" s="575">
        <f t="shared" si="4"/>
        <v>50055.6</v>
      </c>
      <c r="I51" s="576">
        <v>7745.85</v>
      </c>
      <c r="J51" s="576">
        <f t="shared" si="5"/>
        <v>57801.45</v>
      </c>
      <c r="K51" s="576">
        <f t="shared" si="9"/>
        <v>7976.6001000000006</v>
      </c>
      <c r="L51" s="576">
        <f t="shared" si="6"/>
        <v>289.00725</v>
      </c>
      <c r="M51" s="576">
        <f t="shared" si="7"/>
        <v>11953.33986</v>
      </c>
      <c r="N51" s="576">
        <f t="shared" si="8"/>
        <v>78020.397209999996</v>
      </c>
      <c r="O51" s="530"/>
      <c r="P51" s="658" t="s">
        <v>1113</v>
      </c>
      <c r="U51">
        <v>-2</v>
      </c>
      <c r="V51" s="175"/>
    </row>
    <row r="52" spans="1:22">
      <c r="A52" s="570" t="s">
        <v>989</v>
      </c>
      <c r="B52" s="553" t="s">
        <v>990</v>
      </c>
      <c r="C52" s="529">
        <v>50952.3</v>
      </c>
      <c r="D52" s="529">
        <f t="shared" si="11"/>
        <v>7031.4174000000012</v>
      </c>
      <c r="E52" s="554">
        <f t="shared" si="1"/>
        <v>254.76150000000001</v>
      </c>
      <c r="F52" s="529">
        <f t="shared" si="2"/>
        <v>10536.935640000002</v>
      </c>
      <c r="G52" s="555">
        <f t="shared" si="3"/>
        <v>68775.414539999998</v>
      </c>
      <c r="H52" s="575">
        <f t="shared" si="4"/>
        <v>50952.3</v>
      </c>
      <c r="I52" s="576">
        <v>7745.85</v>
      </c>
      <c r="J52" s="576">
        <f t="shared" si="5"/>
        <v>58698.15</v>
      </c>
      <c r="K52" s="576">
        <f t="shared" si="9"/>
        <v>8100.3447000000006</v>
      </c>
      <c r="L52" s="576">
        <f t="shared" si="6"/>
        <v>293.49074999999999</v>
      </c>
      <c r="M52" s="576">
        <f t="shared" si="7"/>
        <v>12138.77742</v>
      </c>
      <c r="N52" s="576">
        <f t="shared" si="8"/>
        <v>79230.762869999991</v>
      </c>
      <c r="O52" s="530"/>
      <c r="P52" s="658" t="s">
        <v>1114</v>
      </c>
      <c r="U52">
        <v>-10</v>
      </c>
      <c r="V52" s="175"/>
    </row>
    <row r="53" spans="1:22">
      <c r="A53" s="570" t="s">
        <v>989</v>
      </c>
      <c r="B53" s="553" t="s">
        <v>991</v>
      </c>
      <c r="C53" s="529">
        <v>50952.3</v>
      </c>
      <c r="D53" s="529">
        <f t="shared" si="11"/>
        <v>7031.4174000000012</v>
      </c>
      <c r="E53" s="554">
        <f t="shared" si="1"/>
        <v>254.76150000000001</v>
      </c>
      <c r="F53" s="529">
        <f t="shared" si="2"/>
        <v>10536.935640000002</v>
      </c>
      <c r="G53" s="555">
        <f t="shared" si="3"/>
        <v>68775.414539999998</v>
      </c>
      <c r="H53" s="575">
        <f t="shared" si="4"/>
        <v>50952.3</v>
      </c>
      <c r="I53" s="576">
        <v>7745.85</v>
      </c>
      <c r="J53" s="576">
        <f t="shared" si="5"/>
        <v>58698.15</v>
      </c>
      <c r="K53" s="576">
        <f t="shared" si="9"/>
        <v>8100.3447000000006</v>
      </c>
      <c r="L53" s="576">
        <f t="shared" si="6"/>
        <v>293.49074999999999</v>
      </c>
      <c r="M53" s="576">
        <f t="shared" si="7"/>
        <v>12138.77742</v>
      </c>
      <c r="N53" s="576">
        <f t="shared" si="8"/>
        <v>79230.762869999991</v>
      </c>
      <c r="O53" s="530"/>
      <c r="P53" s="658"/>
      <c r="U53" s="378">
        <v>208</v>
      </c>
      <c r="V53" s="175"/>
    </row>
    <row r="54" spans="1:22">
      <c r="A54" s="570" t="s">
        <v>989</v>
      </c>
      <c r="B54" s="553" t="s">
        <v>992</v>
      </c>
      <c r="C54" s="529">
        <v>50952.3</v>
      </c>
      <c r="D54" s="529">
        <f t="shared" si="11"/>
        <v>7031.4174000000012</v>
      </c>
      <c r="E54" s="554">
        <f t="shared" si="1"/>
        <v>254.76150000000001</v>
      </c>
      <c r="F54" s="529">
        <f t="shared" si="2"/>
        <v>10536.935640000002</v>
      </c>
      <c r="G54" s="555">
        <f t="shared" si="3"/>
        <v>68775.414539999998</v>
      </c>
      <c r="H54" s="575">
        <f t="shared" si="4"/>
        <v>50952.3</v>
      </c>
      <c r="I54" s="576">
        <v>7745.85</v>
      </c>
      <c r="J54" s="576">
        <f t="shared" si="5"/>
        <v>58698.15</v>
      </c>
      <c r="K54" s="576">
        <f t="shared" si="9"/>
        <v>8100.3447000000006</v>
      </c>
      <c r="L54" s="576">
        <f t="shared" si="6"/>
        <v>293.49074999999999</v>
      </c>
      <c r="M54" s="576">
        <f t="shared" si="7"/>
        <v>12138.77742</v>
      </c>
      <c r="N54" s="576">
        <f t="shared" si="8"/>
        <v>79230.762869999991</v>
      </c>
      <c r="O54" s="530"/>
      <c r="P54" s="658" t="s">
        <v>1115</v>
      </c>
      <c r="U54" s="404">
        <f>7.5*U53</f>
        <v>1560</v>
      </c>
      <c r="V54" s="175"/>
    </row>
    <row r="55" spans="1:22">
      <c r="A55" s="570" t="s">
        <v>989</v>
      </c>
      <c r="B55" s="553" t="s">
        <v>993</v>
      </c>
      <c r="C55" s="529">
        <v>50952.3</v>
      </c>
      <c r="D55" s="529">
        <f t="shared" si="11"/>
        <v>7031.4174000000012</v>
      </c>
      <c r="E55" s="554">
        <f t="shared" si="1"/>
        <v>254.76150000000001</v>
      </c>
      <c r="F55" s="529">
        <f t="shared" si="2"/>
        <v>10536.935640000002</v>
      </c>
      <c r="G55" s="555">
        <f t="shared" si="3"/>
        <v>68775.414539999998</v>
      </c>
      <c r="H55" s="575">
        <f t="shared" si="4"/>
        <v>50952.3</v>
      </c>
      <c r="I55" s="576">
        <v>7745.85</v>
      </c>
      <c r="J55" s="576">
        <f t="shared" si="5"/>
        <v>58698.15</v>
      </c>
      <c r="K55" s="576">
        <f t="shared" si="9"/>
        <v>8100.3447000000006</v>
      </c>
      <c r="L55" s="576">
        <f t="shared" si="6"/>
        <v>293.49074999999999</v>
      </c>
      <c r="M55" s="576">
        <f t="shared" si="7"/>
        <v>12138.77742</v>
      </c>
      <c r="N55" s="576">
        <f t="shared" si="8"/>
        <v>79230.762869999991</v>
      </c>
      <c r="O55" s="530"/>
      <c r="P55" s="176"/>
      <c r="V55" s="175"/>
    </row>
    <row r="56" spans="1:22">
      <c r="A56" s="570" t="s">
        <v>989</v>
      </c>
      <c r="B56" s="553" t="s">
        <v>994</v>
      </c>
      <c r="C56" s="529">
        <v>50952.3</v>
      </c>
      <c r="D56" s="529">
        <f t="shared" si="11"/>
        <v>7031.4174000000012</v>
      </c>
      <c r="E56" s="554">
        <f t="shared" si="1"/>
        <v>254.76150000000001</v>
      </c>
      <c r="F56" s="529">
        <f t="shared" si="2"/>
        <v>10536.935640000002</v>
      </c>
      <c r="G56" s="555">
        <f t="shared" si="3"/>
        <v>68775.414539999998</v>
      </c>
      <c r="H56" s="575">
        <f t="shared" si="4"/>
        <v>50952.3</v>
      </c>
      <c r="I56" s="576">
        <v>7745.85</v>
      </c>
      <c r="J56" s="576">
        <f t="shared" si="5"/>
        <v>58698.15</v>
      </c>
      <c r="K56" s="576">
        <f t="shared" si="9"/>
        <v>8100.3447000000006</v>
      </c>
      <c r="L56" s="576">
        <f t="shared" si="6"/>
        <v>293.49074999999999</v>
      </c>
      <c r="M56" s="576">
        <f t="shared" si="7"/>
        <v>12138.77742</v>
      </c>
      <c r="N56" s="576">
        <f t="shared" si="8"/>
        <v>79230.762869999991</v>
      </c>
      <c r="O56" s="530"/>
      <c r="P56" s="658"/>
      <c r="V56" s="175"/>
    </row>
    <row r="57" spans="1:22">
      <c r="A57" s="570" t="s">
        <v>989</v>
      </c>
      <c r="B57" s="553" t="s">
        <v>995</v>
      </c>
      <c r="C57" s="529">
        <v>57349.950000000004</v>
      </c>
      <c r="D57" s="529">
        <f t="shared" si="11"/>
        <v>7914.2931000000017</v>
      </c>
      <c r="E57" s="554">
        <f t="shared" si="1"/>
        <v>286.74975000000001</v>
      </c>
      <c r="F57" s="529">
        <f t="shared" si="2"/>
        <v>11859.969660000002</v>
      </c>
      <c r="G57" s="555">
        <f t="shared" si="3"/>
        <v>77410.962510000012</v>
      </c>
      <c r="H57" s="575">
        <f t="shared" si="4"/>
        <v>57349.950000000004</v>
      </c>
      <c r="I57" s="576">
        <v>7745.85</v>
      </c>
      <c r="J57" s="576">
        <f t="shared" si="5"/>
        <v>65095.8</v>
      </c>
      <c r="K57" s="576">
        <f t="shared" si="9"/>
        <v>8983.220400000002</v>
      </c>
      <c r="L57" s="576">
        <f t="shared" si="6"/>
        <v>325.47900000000004</v>
      </c>
      <c r="M57" s="576">
        <f t="shared" si="7"/>
        <v>13461.811440000001</v>
      </c>
      <c r="N57" s="576">
        <f t="shared" si="8"/>
        <v>87866.31084000002</v>
      </c>
      <c r="O57" s="530"/>
      <c r="P57" s="657" t="s">
        <v>971</v>
      </c>
      <c r="V57" s="175"/>
    </row>
    <row r="58" spans="1:22">
      <c r="A58" s="570" t="s">
        <v>996</v>
      </c>
      <c r="B58" s="553" t="s">
        <v>997</v>
      </c>
      <c r="C58" s="529">
        <v>58972.200000000004</v>
      </c>
      <c r="D58" s="529">
        <f t="shared" si="11"/>
        <v>8138.1636000000017</v>
      </c>
      <c r="E58" s="554">
        <f t="shared" si="1"/>
        <v>294.86100000000005</v>
      </c>
      <c r="F58" s="529">
        <f t="shared" si="2"/>
        <v>12195.450960000002</v>
      </c>
      <c r="G58" s="555">
        <f t="shared" si="3"/>
        <v>79600.675560000018</v>
      </c>
      <c r="H58" s="575">
        <f t="shared" si="4"/>
        <v>58972.200000000004</v>
      </c>
      <c r="I58" s="576">
        <v>7745.85</v>
      </c>
      <c r="J58" s="576">
        <f t="shared" si="5"/>
        <v>66718.05</v>
      </c>
      <c r="K58" s="576">
        <f t="shared" si="9"/>
        <v>9207.0909000000011</v>
      </c>
      <c r="L58" s="576">
        <f t="shared" si="6"/>
        <v>333.59025000000003</v>
      </c>
      <c r="M58" s="576">
        <f t="shared" si="7"/>
        <v>13797.292740000001</v>
      </c>
      <c r="N58" s="576">
        <f t="shared" si="8"/>
        <v>90056.023889999997</v>
      </c>
      <c r="O58" s="530"/>
      <c r="P58" s="658" t="s">
        <v>1116</v>
      </c>
      <c r="U58">
        <v>43</v>
      </c>
      <c r="V58" s="175"/>
    </row>
    <row r="59" spans="1:22">
      <c r="A59" s="570" t="s">
        <v>996</v>
      </c>
      <c r="B59" s="553" t="s">
        <v>998</v>
      </c>
      <c r="C59" s="529">
        <v>58972.200000000004</v>
      </c>
      <c r="D59" s="529">
        <f t="shared" si="11"/>
        <v>8138.1636000000017</v>
      </c>
      <c r="E59" s="554">
        <f t="shared" si="1"/>
        <v>294.86100000000005</v>
      </c>
      <c r="F59" s="529">
        <f t="shared" si="2"/>
        <v>12195.450960000002</v>
      </c>
      <c r="G59" s="555">
        <f t="shared" si="3"/>
        <v>79600.675560000018</v>
      </c>
      <c r="H59" s="575">
        <f t="shared" si="4"/>
        <v>58972.200000000004</v>
      </c>
      <c r="I59" s="576">
        <v>7745.85</v>
      </c>
      <c r="J59" s="576">
        <f t="shared" si="5"/>
        <v>66718.05</v>
      </c>
      <c r="K59" s="576">
        <f t="shared" si="9"/>
        <v>9207.0909000000011</v>
      </c>
      <c r="L59" s="576">
        <f t="shared" si="6"/>
        <v>333.59025000000003</v>
      </c>
      <c r="M59" s="576">
        <f t="shared" si="7"/>
        <v>13797.292740000001</v>
      </c>
      <c r="N59" s="576">
        <f t="shared" si="8"/>
        <v>90056.023889999997</v>
      </c>
      <c r="O59" s="530"/>
      <c r="P59" s="658"/>
      <c r="V59" s="175"/>
    </row>
    <row r="60" spans="1:22">
      <c r="A60" s="570" t="s">
        <v>996</v>
      </c>
      <c r="B60" s="553" t="s">
        <v>999</v>
      </c>
      <c r="C60" s="529">
        <v>58972.200000000004</v>
      </c>
      <c r="D60" s="529">
        <f t="shared" si="11"/>
        <v>8138.1636000000017</v>
      </c>
      <c r="E60" s="554">
        <f t="shared" si="1"/>
        <v>294.86100000000005</v>
      </c>
      <c r="F60" s="529">
        <f t="shared" si="2"/>
        <v>12195.450960000002</v>
      </c>
      <c r="G60" s="555">
        <f t="shared" si="3"/>
        <v>79600.675560000018</v>
      </c>
      <c r="H60" s="575">
        <f t="shared" si="4"/>
        <v>58972.200000000004</v>
      </c>
      <c r="I60" s="576">
        <v>7745.85</v>
      </c>
      <c r="J60" s="576">
        <f t="shared" si="5"/>
        <v>66718.05</v>
      </c>
      <c r="K60" s="576">
        <f t="shared" si="9"/>
        <v>9207.0909000000011</v>
      </c>
      <c r="L60" s="576">
        <f t="shared" si="6"/>
        <v>333.59025000000003</v>
      </c>
      <c r="M60" s="576">
        <f t="shared" si="7"/>
        <v>13797.292740000001</v>
      </c>
      <c r="N60" s="576">
        <f t="shared" si="8"/>
        <v>90056.023889999997</v>
      </c>
      <c r="O60" s="530"/>
      <c r="P60" s="658" t="s">
        <v>1117</v>
      </c>
      <c r="U60">
        <v>10</v>
      </c>
      <c r="V60" s="175"/>
    </row>
    <row r="61" spans="1:22">
      <c r="A61" s="570" t="s">
        <v>996</v>
      </c>
      <c r="B61" s="553" t="s">
        <v>1000</v>
      </c>
      <c r="C61" s="529">
        <v>58972.200000000004</v>
      </c>
      <c r="D61" s="529">
        <f t="shared" si="11"/>
        <v>8138.1636000000017</v>
      </c>
      <c r="E61" s="554">
        <f t="shared" si="1"/>
        <v>294.86100000000005</v>
      </c>
      <c r="F61" s="529">
        <f t="shared" si="2"/>
        <v>12195.450960000002</v>
      </c>
      <c r="G61" s="555">
        <f t="shared" si="3"/>
        <v>79600.675560000018</v>
      </c>
      <c r="H61" s="575">
        <f t="shared" si="4"/>
        <v>58972.200000000004</v>
      </c>
      <c r="I61" s="576">
        <v>7745.85</v>
      </c>
      <c r="J61" s="576">
        <f t="shared" si="5"/>
        <v>66718.05</v>
      </c>
      <c r="K61" s="576">
        <f t="shared" si="9"/>
        <v>9207.0909000000011</v>
      </c>
      <c r="L61" s="576">
        <f t="shared" si="6"/>
        <v>333.59025000000003</v>
      </c>
      <c r="M61" s="576">
        <f t="shared" si="7"/>
        <v>13797.292740000001</v>
      </c>
      <c r="N61" s="576">
        <f t="shared" si="8"/>
        <v>90056.023889999997</v>
      </c>
      <c r="O61" s="530"/>
      <c r="P61" s="658" t="s">
        <v>1118</v>
      </c>
      <c r="U61">
        <v>-2</v>
      </c>
      <c r="V61" s="175"/>
    </row>
    <row r="62" spans="1:22">
      <c r="A62" s="570" t="s">
        <v>996</v>
      </c>
      <c r="B62" s="553" t="s">
        <v>1001</v>
      </c>
      <c r="C62" s="529">
        <v>58972.200000000004</v>
      </c>
      <c r="D62" s="529">
        <f t="shared" si="11"/>
        <v>8138.1636000000017</v>
      </c>
      <c r="E62" s="554">
        <f t="shared" si="1"/>
        <v>294.86100000000005</v>
      </c>
      <c r="F62" s="529">
        <f t="shared" si="2"/>
        <v>12195.450960000002</v>
      </c>
      <c r="G62" s="555">
        <f t="shared" si="3"/>
        <v>79600.675560000018</v>
      </c>
      <c r="H62" s="575">
        <f t="shared" si="4"/>
        <v>58972.200000000004</v>
      </c>
      <c r="I62" s="576">
        <v>7745.85</v>
      </c>
      <c r="J62" s="576">
        <f t="shared" si="5"/>
        <v>66718.05</v>
      </c>
      <c r="K62" s="576">
        <f t="shared" si="9"/>
        <v>9207.0909000000011</v>
      </c>
      <c r="L62" s="576">
        <f t="shared" si="6"/>
        <v>333.59025000000003</v>
      </c>
      <c r="M62" s="576">
        <f t="shared" si="7"/>
        <v>13797.292740000001</v>
      </c>
      <c r="N62" s="576">
        <f t="shared" si="8"/>
        <v>90056.023889999997</v>
      </c>
      <c r="O62" s="530"/>
      <c r="P62" s="658"/>
      <c r="U62" s="378">
        <v>8</v>
      </c>
      <c r="V62" s="175"/>
    </row>
    <row r="63" spans="1:22">
      <c r="A63" s="570" t="s">
        <v>996</v>
      </c>
      <c r="B63" s="553" t="s">
        <v>1002</v>
      </c>
      <c r="C63" s="529">
        <v>68525.100000000006</v>
      </c>
      <c r="D63" s="529">
        <f t="shared" si="11"/>
        <v>9456.4638000000014</v>
      </c>
      <c r="E63" s="554">
        <f t="shared" si="1"/>
        <v>342.62550000000005</v>
      </c>
      <c r="F63" s="529">
        <f t="shared" si="2"/>
        <v>14170.990680000003</v>
      </c>
      <c r="G63" s="555">
        <f t="shared" si="3"/>
        <v>92495.179980000001</v>
      </c>
      <c r="H63" s="575">
        <f t="shared" si="4"/>
        <v>68525.100000000006</v>
      </c>
      <c r="I63" s="576">
        <v>7745.85</v>
      </c>
      <c r="J63" s="576">
        <f t="shared" si="5"/>
        <v>76270.950000000012</v>
      </c>
      <c r="K63" s="576">
        <f t="shared" si="9"/>
        <v>10525.391100000003</v>
      </c>
      <c r="L63" s="576">
        <f t="shared" si="6"/>
        <v>381.35475000000008</v>
      </c>
      <c r="M63" s="576">
        <f t="shared" si="7"/>
        <v>15772.832460000003</v>
      </c>
      <c r="N63" s="576">
        <f t="shared" si="8"/>
        <v>102950.52831000002</v>
      </c>
      <c r="O63" s="530"/>
      <c r="P63" s="658" t="s">
        <v>1119</v>
      </c>
      <c r="U63" s="404">
        <f>U62*4*U58</f>
        <v>1376</v>
      </c>
      <c r="V63" s="175"/>
    </row>
    <row r="64" spans="1:22">
      <c r="A64" s="570" t="s">
        <v>1003</v>
      </c>
      <c r="B64" s="553" t="s">
        <v>1004</v>
      </c>
      <c r="C64" s="529">
        <v>70417.2</v>
      </c>
      <c r="D64" s="529">
        <f t="shared" si="11"/>
        <v>9717.5735999999997</v>
      </c>
      <c r="E64" s="554">
        <f t="shared" si="1"/>
        <v>352.08600000000001</v>
      </c>
      <c r="F64" s="529">
        <f t="shared" si="2"/>
        <v>14562.276960000001</v>
      </c>
      <c r="G64" s="555">
        <f t="shared" si="3"/>
        <v>95049.136559999999</v>
      </c>
      <c r="H64" s="575">
        <f t="shared" si="4"/>
        <v>70417.2</v>
      </c>
      <c r="I64" s="576">
        <v>7745.85</v>
      </c>
      <c r="J64" s="576">
        <f t="shared" si="5"/>
        <v>78163.05</v>
      </c>
      <c r="K64" s="576">
        <f t="shared" si="9"/>
        <v>10786.500900000001</v>
      </c>
      <c r="L64" s="576">
        <f t="shared" si="6"/>
        <v>390.81525000000005</v>
      </c>
      <c r="M64" s="576">
        <f t="shared" si="7"/>
        <v>16164.118740000002</v>
      </c>
      <c r="N64" s="576">
        <f t="shared" si="8"/>
        <v>105504.48489000001</v>
      </c>
      <c r="O64" s="530"/>
      <c r="P64" s="176"/>
      <c r="V64" s="175"/>
    </row>
    <row r="65" spans="1:22">
      <c r="A65" s="570" t="s">
        <v>1003</v>
      </c>
      <c r="B65" s="553" t="s">
        <v>1005</v>
      </c>
      <c r="C65" s="529">
        <v>70417.2</v>
      </c>
      <c r="D65" s="529">
        <f t="shared" si="11"/>
        <v>9717.5735999999997</v>
      </c>
      <c r="E65" s="554">
        <f t="shared" si="1"/>
        <v>352.08600000000001</v>
      </c>
      <c r="F65" s="529">
        <f t="shared" si="2"/>
        <v>14562.276960000001</v>
      </c>
      <c r="G65" s="555">
        <f t="shared" si="3"/>
        <v>95049.136559999999</v>
      </c>
      <c r="H65" s="575">
        <f t="shared" si="4"/>
        <v>70417.2</v>
      </c>
      <c r="I65" s="576">
        <v>7745.85</v>
      </c>
      <c r="J65" s="576">
        <f t="shared" si="5"/>
        <v>78163.05</v>
      </c>
      <c r="K65" s="576">
        <f t="shared" si="9"/>
        <v>10786.500900000001</v>
      </c>
      <c r="L65" s="576">
        <f t="shared" si="6"/>
        <v>390.81525000000005</v>
      </c>
      <c r="M65" s="576">
        <f t="shared" si="7"/>
        <v>16164.118740000002</v>
      </c>
      <c r="N65" s="576">
        <f t="shared" si="8"/>
        <v>105504.48489000001</v>
      </c>
      <c r="O65" s="530"/>
      <c r="P65" s="658"/>
      <c r="V65" s="175"/>
    </row>
    <row r="66" spans="1:22">
      <c r="A66" s="570" t="s">
        <v>1003</v>
      </c>
      <c r="B66" s="553" t="s">
        <v>1006</v>
      </c>
      <c r="C66" s="529">
        <v>70417.2</v>
      </c>
      <c r="D66" s="529">
        <f t="shared" si="11"/>
        <v>9717.5735999999997</v>
      </c>
      <c r="E66" s="554">
        <f t="shared" si="1"/>
        <v>352.08600000000001</v>
      </c>
      <c r="F66" s="529">
        <f t="shared" si="2"/>
        <v>14562.276960000001</v>
      </c>
      <c r="G66" s="555">
        <f t="shared" si="3"/>
        <v>95049.136559999999</v>
      </c>
      <c r="H66" s="575">
        <f t="shared" si="4"/>
        <v>70417.2</v>
      </c>
      <c r="I66" s="576">
        <v>7745.85</v>
      </c>
      <c r="J66" s="576">
        <f t="shared" si="5"/>
        <v>78163.05</v>
      </c>
      <c r="K66" s="576">
        <f t="shared" si="9"/>
        <v>10786.500900000001</v>
      </c>
      <c r="L66" s="576">
        <f t="shared" si="6"/>
        <v>390.81525000000005</v>
      </c>
      <c r="M66" s="576">
        <f t="shared" si="7"/>
        <v>16164.118740000002</v>
      </c>
      <c r="N66" s="576">
        <f t="shared" si="8"/>
        <v>105504.48489000001</v>
      </c>
      <c r="O66" s="530"/>
      <c r="P66" s="657" t="s">
        <v>977</v>
      </c>
      <c r="V66" s="175"/>
    </row>
    <row r="67" spans="1:22">
      <c r="A67" s="570" t="s">
        <v>1003</v>
      </c>
      <c r="B67" s="553" t="s">
        <v>1007</v>
      </c>
      <c r="C67" s="529">
        <v>70417.2</v>
      </c>
      <c r="D67" s="529">
        <f t="shared" si="11"/>
        <v>9717.5735999999997</v>
      </c>
      <c r="E67" s="554">
        <f t="shared" si="1"/>
        <v>352.08600000000001</v>
      </c>
      <c r="F67" s="529">
        <f t="shared" si="2"/>
        <v>14562.276960000001</v>
      </c>
      <c r="G67" s="555">
        <f t="shared" si="3"/>
        <v>95049.136559999999</v>
      </c>
      <c r="H67" s="575">
        <f t="shared" si="4"/>
        <v>70417.2</v>
      </c>
      <c r="I67" s="576">
        <v>7745.85</v>
      </c>
      <c r="J67" s="576">
        <f t="shared" si="5"/>
        <v>78163.05</v>
      </c>
      <c r="K67" s="576">
        <f t="shared" si="9"/>
        <v>10786.500900000001</v>
      </c>
      <c r="L67" s="576">
        <f t="shared" si="6"/>
        <v>390.81525000000005</v>
      </c>
      <c r="M67" s="576">
        <f t="shared" si="7"/>
        <v>16164.118740000002</v>
      </c>
      <c r="N67" s="576">
        <f t="shared" si="8"/>
        <v>105504.48489000001</v>
      </c>
      <c r="O67" s="530"/>
      <c r="P67" s="658" t="s">
        <v>1120</v>
      </c>
      <c r="U67">
        <v>44.7</v>
      </c>
      <c r="V67" s="175"/>
    </row>
    <row r="68" spans="1:22">
      <c r="A68" s="570" t="s">
        <v>1003</v>
      </c>
      <c r="B68" s="553" t="s">
        <v>1008</v>
      </c>
      <c r="C68" s="529">
        <v>70417.2</v>
      </c>
      <c r="D68" s="529">
        <f t="shared" si="11"/>
        <v>9717.5735999999997</v>
      </c>
      <c r="E68" s="554">
        <f t="shared" si="1"/>
        <v>352.08600000000001</v>
      </c>
      <c r="F68" s="529">
        <f t="shared" si="2"/>
        <v>14562.276960000001</v>
      </c>
      <c r="G68" s="555">
        <f t="shared" si="3"/>
        <v>95049.136559999999</v>
      </c>
      <c r="H68" s="575">
        <f t="shared" si="4"/>
        <v>70417.2</v>
      </c>
      <c r="I68" s="576">
        <v>7745.85</v>
      </c>
      <c r="J68" s="576">
        <f t="shared" si="5"/>
        <v>78163.05</v>
      </c>
      <c r="K68" s="576">
        <f t="shared" si="9"/>
        <v>10786.500900000001</v>
      </c>
      <c r="L68" s="576">
        <f t="shared" si="6"/>
        <v>390.81525000000005</v>
      </c>
      <c r="M68" s="576">
        <f t="shared" si="7"/>
        <v>16164.118740000002</v>
      </c>
      <c r="N68" s="576">
        <f t="shared" si="8"/>
        <v>105504.48489000001</v>
      </c>
      <c r="O68" s="530"/>
      <c r="P68" s="658" t="s">
        <v>1121</v>
      </c>
      <c r="U68">
        <v>48</v>
      </c>
      <c r="V68" s="175"/>
    </row>
    <row r="69" spans="1:22">
      <c r="A69" s="570" t="s">
        <v>1003</v>
      </c>
      <c r="B69" s="553" t="s">
        <v>1009</v>
      </c>
      <c r="C69" s="529">
        <v>81137.7</v>
      </c>
      <c r="D69" s="529">
        <f t="shared" ref="D69:D100" si="12">(C69-$B$109)*0.138</f>
        <v>11197.0026</v>
      </c>
      <c r="E69" s="554">
        <f t="shared" ref="E69:E100" si="13">C69*0.005</f>
        <v>405.68849999999998</v>
      </c>
      <c r="F69" s="529">
        <f t="shared" ref="F69:F100" si="14">C69*0.2068</f>
        <v>16779.27636</v>
      </c>
      <c r="G69" s="555">
        <f t="shared" ref="G69:G100" si="15">SUM(C69:F69)</f>
        <v>109519.66746</v>
      </c>
      <c r="H69" s="575">
        <f t="shared" ref="H69:H81" si="16">C69</f>
        <v>81137.7</v>
      </c>
      <c r="I69" s="576">
        <v>7745.85</v>
      </c>
      <c r="J69" s="576">
        <f t="shared" ref="J69:J81" si="17">C69+I69</f>
        <v>88883.55</v>
      </c>
      <c r="K69" s="576">
        <f t="shared" si="9"/>
        <v>12265.929900000001</v>
      </c>
      <c r="L69" s="576">
        <f t="shared" ref="L69:L81" si="18">J69*0.005</f>
        <v>444.41775000000001</v>
      </c>
      <c r="M69" s="576">
        <f t="shared" ref="M69:M81" si="19">J69*0.2068</f>
        <v>18381.118140000002</v>
      </c>
      <c r="N69" s="576">
        <f t="shared" ref="N69:N81" si="20">SUM(J69:M69)</f>
        <v>119975.01579</v>
      </c>
      <c r="O69" s="530"/>
      <c r="P69" s="658" t="s">
        <v>1122</v>
      </c>
      <c r="U69">
        <v>2145.6</v>
      </c>
      <c r="V69" s="175"/>
    </row>
    <row r="70" spans="1:22">
      <c r="A70" s="570" t="s">
        <v>1010</v>
      </c>
      <c r="B70" s="553" t="s">
        <v>1011</v>
      </c>
      <c r="C70" s="529">
        <v>83571.600000000006</v>
      </c>
      <c r="D70" s="529">
        <f t="shared" si="12"/>
        <v>11532.880800000003</v>
      </c>
      <c r="E70" s="554">
        <f t="shared" si="13"/>
        <v>417.85800000000006</v>
      </c>
      <c r="F70" s="529">
        <f t="shared" si="14"/>
        <v>17282.606880000003</v>
      </c>
      <c r="G70" s="555">
        <f t="shared" si="15"/>
        <v>112804.94568</v>
      </c>
      <c r="H70" s="575">
        <f t="shared" si="16"/>
        <v>83571.600000000006</v>
      </c>
      <c r="I70" s="576">
        <v>7745.85</v>
      </c>
      <c r="J70" s="576">
        <f t="shared" si="17"/>
        <v>91317.450000000012</v>
      </c>
      <c r="K70" s="576">
        <f t="shared" ref="K70:K81" si="21">(J70-$B$109)*0.138</f>
        <v>12601.808100000002</v>
      </c>
      <c r="L70" s="576">
        <f t="shared" si="18"/>
        <v>456.58725000000004</v>
      </c>
      <c r="M70" s="576">
        <f t="shared" si="19"/>
        <v>18884.448660000002</v>
      </c>
      <c r="N70" s="576">
        <f t="shared" si="20"/>
        <v>123260.29401000001</v>
      </c>
      <c r="O70" s="530"/>
      <c r="P70" s="658" t="s">
        <v>1123</v>
      </c>
      <c r="U70" s="659">
        <v>0.6</v>
      </c>
      <c r="V70" s="175"/>
    </row>
    <row r="71" spans="1:22">
      <c r="A71" s="570" t="s">
        <v>1010</v>
      </c>
      <c r="B71" s="553" t="s">
        <v>1012</v>
      </c>
      <c r="C71" s="529">
        <v>83571.600000000006</v>
      </c>
      <c r="D71" s="529">
        <f t="shared" si="12"/>
        <v>11532.880800000003</v>
      </c>
      <c r="E71" s="554">
        <f t="shared" si="13"/>
        <v>417.85800000000006</v>
      </c>
      <c r="F71" s="529">
        <f t="shared" si="14"/>
        <v>17282.606880000003</v>
      </c>
      <c r="G71" s="555">
        <f t="shared" si="15"/>
        <v>112804.94568</v>
      </c>
      <c r="H71" s="575">
        <f t="shared" si="16"/>
        <v>83571.600000000006</v>
      </c>
      <c r="I71" s="576">
        <v>7745.85</v>
      </c>
      <c r="J71" s="576">
        <f t="shared" si="17"/>
        <v>91317.450000000012</v>
      </c>
      <c r="K71" s="576">
        <f t="shared" si="21"/>
        <v>12601.808100000002</v>
      </c>
      <c r="L71" s="576">
        <f t="shared" si="18"/>
        <v>456.58725000000004</v>
      </c>
      <c r="M71" s="576">
        <f t="shared" si="19"/>
        <v>18884.448660000002</v>
      </c>
      <c r="N71" s="576">
        <f t="shared" si="20"/>
        <v>123260.29401000001</v>
      </c>
      <c r="O71" s="530"/>
      <c r="P71" s="658" t="s">
        <v>1124</v>
      </c>
      <c r="U71" s="660">
        <f>ROUND(U70*U69,0)</f>
        <v>1287</v>
      </c>
      <c r="V71" s="175"/>
    </row>
    <row r="72" spans="1:22">
      <c r="A72" s="570" t="s">
        <v>1010</v>
      </c>
      <c r="B72" s="553" t="s">
        <v>1013</v>
      </c>
      <c r="C72" s="529">
        <v>83571.600000000006</v>
      </c>
      <c r="D72" s="529">
        <f t="shared" si="12"/>
        <v>11532.880800000003</v>
      </c>
      <c r="E72" s="554">
        <f t="shared" si="13"/>
        <v>417.85800000000006</v>
      </c>
      <c r="F72" s="529">
        <f t="shared" si="14"/>
        <v>17282.606880000003</v>
      </c>
      <c r="G72" s="555">
        <f t="shared" si="15"/>
        <v>112804.94568</v>
      </c>
      <c r="H72" s="575">
        <f t="shared" si="16"/>
        <v>83571.600000000006</v>
      </c>
      <c r="I72" s="576">
        <v>7745.85</v>
      </c>
      <c r="J72" s="576">
        <f t="shared" si="17"/>
        <v>91317.450000000012</v>
      </c>
      <c r="K72" s="576">
        <f t="shared" si="21"/>
        <v>12601.808100000002</v>
      </c>
      <c r="L72" s="576">
        <f t="shared" si="18"/>
        <v>456.58725000000004</v>
      </c>
      <c r="M72" s="576">
        <f t="shared" si="19"/>
        <v>18884.448660000002</v>
      </c>
      <c r="N72" s="576">
        <f t="shared" si="20"/>
        <v>123260.29401000001</v>
      </c>
      <c r="O72" s="530"/>
      <c r="P72" s="177"/>
      <c r="Q72" s="178"/>
      <c r="R72" s="661"/>
      <c r="S72" s="178"/>
      <c r="T72" s="178"/>
      <c r="U72" s="178"/>
      <c r="V72" s="179"/>
    </row>
    <row r="73" spans="1:22">
      <c r="A73" s="570" t="s">
        <v>1010</v>
      </c>
      <c r="B73" s="553" t="s">
        <v>1014</v>
      </c>
      <c r="C73" s="529">
        <v>83571.600000000006</v>
      </c>
      <c r="D73" s="529">
        <f t="shared" si="12"/>
        <v>11532.880800000003</v>
      </c>
      <c r="E73" s="554">
        <f t="shared" si="13"/>
        <v>417.85800000000006</v>
      </c>
      <c r="F73" s="529">
        <f t="shared" si="14"/>
        <v>17282.606880000003</v>
      </c>
      <c r="G73" s="555">
        <f t="shared" si="15"/>
        <v>112804.94568</v>
      </c>
      <c r="H73" s="575">
        <f t="shared" si="16"/>
        <v>83571.600000000006</v>
      </c>
      <c r="I73" s="576">
        <v>7745.85</v>
      </c>
      <c r="J73" s="576">
        <f t="shared" si="17"/>
        <v>91317.450000000012</v>
      </c>
      <c r="K73" s="576">
        <f t="shared" si="21"/>
        <v>12601.808100000002</v>
      </c>
      <c r="L73" s="576">
        <f t="shared" si="18"/>
        <v>456.58725000000004</v>
      </c>
      <c r="M73" s="576">
        <f t="shared" si="19"/>
        <v>18884.448660000002</v>
      </c>
      <c r="N73" s="576">
        <f t="shared" si="20"/>
        <v>123260.29401000001</v>
      </c>
      <c r="O73" s="530"/>
      <c r="P73" s="530"/>
    </row>
    <row r="74" spans="1:22">
      <c r="A74" s="570" t="s">
        <v>1010</v>
      </c>
      <c r="B74" s="553" t="s">
        <v>1015</v>
      </c>
      <c r="C74" s="529">
        <v>83571.600000000006</v>
      </c>
      <c r="D74" s="529">
        <f t="shared" si="12"/>
        <v>11532.880800000003</v>
      </c>
      <c r="E74" s="554">
        <f t="shared" si="13"/>
        <v>417.85800000000006</v>
      </c>
      <c r="F74" s="529">
        <f t="shared" si="14"/>
        <v>17282.606880000003</v>
      </c>
      <c r="G74" s="555">
        <f t="shared" si="15"/>
        <v>112804.94568</v>
      </c>
      <c r="H74" s="575">
        <f t="shared" si="16"/>
        <v>83571.600000000006</v>
      </c>
      <c r="I74" s="576">
        <v>7745.85</v>
      </c>
      <c r="J74" s="576">
        <f t="shared" si="17"/>
        <v>91317.450000000012</v>
      </c>
      <c r="K74" s="576">
        <f t="shared" si="21"/>
        <v>12601.808100000002</v>
      </c>
      <c r="L74" s="576">
        <f t="shared" si="18"/>
        <v>456.58725000000004</v>
      </c>
      <c r="M74" s="576">
        <f t="shared" si="19"/>
        <v>18884.448660000002</v>
      </c>
      <c r="N74" s="576">
        <f t="shared" si="20"/>
        <v>123260.29401000001</v>
      </c>
      <c r="O74" s="530"/>
      <c r="P74" s="530"/>
    </row>
    <row r="75" spans="1:22">
      <c r="A75" s="570" t="s">
        <v>1010</v>
      </c>
      <c r="B75" s="553" t="s">
        <v>1016</v>
      </c>
      <c r="C75" s="529">
        <v>96376.35</v>
      </c>
      <c r="D75" s="529">
        <f t="shared" si="12"/>
        <v>13299.936300000001</v>
      </c>
      <c r="E75" s="554">
        <f t="shared" si="13"/>
        <v>481.88175000000001</v>
      </c>
      <c r="F75" s="529">
        <f t="shared" si="14"/>
        <v>19930.629180000004</v>
      </c>
      <c r="G75" s="555">
        <f t="shared" si="15"/>
        <v>130088.79723000001</v>
      </c>
      <c r="H75" s="575">
        <f t="shared" si="16"/>
        <v>96376.35</v>
      </c>
      <c r="I75" s="576">
        <v>7745.85</v>
      </c>
      <c r="J75" s="576">
        <f t="shared" si="17"/>
        <v>104122.20000000001</v>
      </c>
      <c r="K75" s="576">
        <f t="shared" si="21"/>
        <v>14368.863600000002</v>
      </c>
      <c r="L75" s="576">
        <f t="shared" si="18"/>
        <v>520.6110000000001</v>
      </c>
      <c r="M75" s="576">
        <f t="shared" si="19"/>
        <v>21532.470960000002</v>
      </c>
      <c r="N75" s="576">
        <f t="shared" si="20"/>
        <v>140544.14556</v>
      </c>
      <c r="O75" s="530"/>
      <c r="P75" s="530"/>
    </row>
    <row r="76" spans="1:22">
      <c r="A76" s="570">
        <v>9</v>
      </c>
      <c r="B76" s="553" t="s">
        <v>1017</v>
      </c>
      <c r="C76" s="529">
        <v>99891.75</v>
      </c>
      <c r="D76" s="529">
        <f t="shared" si="12"/>
        <v>13785.061500000002</v>
      </c>
      <c r="E76" s="554">
        <f t="shared" si="13"/>
        <v>499.45875000000001</v>
      </c>
      <c r="F76" s="529">
        <f t="shared" si="14"/>
        <v>20657.6139</v>
      </c>
      <c r="G76" s="555">
        <f t="shared" si="15"/>
        <v>134833.88415</v>
      </c>
      <c r="H76" s="575">
        <f t="shared" si="16"/>
        <v>99891.75</v>
      </c>
      <c r="I76" s="576">
        <v>7745.85</v>
      </c>
      <c r="J76" s="576">
        <f t="shared" si="17"/>
        <v>107637.6</v>
      </c>
      <c r="K76" s="576">
        <f t="shared" si="21"/>
        <v>14853.988800000003</v>
      </c>
      <c r="L76" s="576">
        <f t="shared" si="18"/>
        <v>538.18799999999999</v>
      </c>
      <c r="M76" s="576">
        <f t="shared" si="19"/>
        <v>22259.455680000003</v>
      </c>
      <c r="N76" s="576">
        <f t="shared" si="20"/>
        <v>145289.23248000001</v>
      </c>
      <c r="O76" s="530"/>
      <c r="P76" s="530"/>
    </row>
    <row r="77" spans="1:22">
      <c r="A77" s="570">
        <v>9</v>
      </c>
      <c r="B77" s="553" t="s">
        <v>1018</v>
      </c>
      <c r="C77" s="529">
        <v>99891.75</v>
      </c>
      <c r="D77" s="529">
        <f t="shared" si="12"/>
        <v>13785.061500000002</v>
      </c>
      <c r="E77" s="554">
        <f t="shared" si="13"/>
        <v>499.45875000000001</v>
      </c>
      <c r="F77" s="529">
        <f t="shared" si="14"/>
        <v>20657.6139</v>
      </c>
      <c r="G77" s="555">
        <f t="shared" si="15"/>
        <v>134833.88415</v>
      </c>
      <c r="H77" s="575">
        <f t="shared" si="16"/>
        <v>99891.75</v>
      </c>
      <c r="I77" s="576">
        <v>7745.85</v>
      </c>
      <c r="J77" s="576">
        <f t="shared" si="17"/>
        <v>107637.6</v>
      </c>
      <c r="K77" s="576">
        <f t="shared" si="21"/>
        <v>14853.988800000003</v>
      </c>
      <c r="L77" s="576">
        <f t="shared" si="18"/>
        <v>538.18799999999999</v>
      </c>
      <c r="M77" s="576">
        <f t="shared" si="19"/>
        <v>22259.455680000003</v>
      </c>
      <c r="N77" s="576">
        <f t="shared" si="20"/>
        <v>145289.23248000001</v>
      </c>
      <c r="O77" s="530"/>
      <c r="P77" s="530"/>
    </row>
    <row r="78" spans="1:22">
      <c r="A78" s="570">
        <v>9</v>
      </c>
      <c r="B78" s="553" t="s">
        <v>1019</v>
      </c>
      <c r="C78" s="529">
        <v>99891.75</v>
      </c>
      <c r="D78" s="529">
        <f t="shared" si="12"/>
        <v>13785.061500000002</v>
      </c>
      <c r="E78" s="554">
        <f t="shared" si="13"/>
        <v>499.45875000000001</v>
      </c>
      <c r="F78" s="529">
        <f t="shared" si="14"/>
        <v>20657.6139</v>
      </c>
      <c r="G78" s="555">
        <f t="shared" si="15"/>
        <v>134833.88415</v>
      </c>
      <c r="H78" s="575">
        <f t="shared" si="16"/>
        <v>99891.75</v>
      </c>
      <c r="I78" s="576">
        <v>7745.85</v>
      </c>
      <c r="J78" s="576">
        <f t="shared" si="17"/>
        <v>107637.6</v>
      </c>
      <c r="K78" s="576">
        <f t="shared" si="21"/>
        <v>14853.988800000003</v>
      </c>
      <c r="L78" s="576">
        <f t="shared" si="18"/>
        <v>538.18799999999999</v>
      </c>
      <c r="M78" s="576">
        <f t="shared" si="19"/>
        <v>22259.455680000003</v>
      </c>
      <c r="N78" s="576">
        <f t="shared" si="20"/>
        <v>145289.23248000001</v>
      </c>
      <c r="O78" s="530"/>
      <c r="P78" s="530"/>
    </row>
    <row r="79" spans="1:22">
      <c r="A79" s="570">
        <v>9</v>
      </c>
      <c r="B79" s="553" t="s">
        <v>1020</v>
      </c>
      <c r="C79" s="529">
        <v>99891.75</v>
      </c>
      <c r="D79" s="529">
        <f t="shared" si="12"/>
        <v>13785.061500000002</v>
      </c>
      <c r="E79" s="554">
        <f t="shared" si="13"/>
        <v>499.45875000000001</v>
      </c>
      <c r="F79" s="529">
        <f t="shared" si="14"/>
        <v>20657.6139</v>
      </c>
      <c r="G79" s="555">
        <f t="shared" si="15"/>
        <v>134833.88415</v>
      </c>
      <c r="H79" s="575">
        <f t="shared" si="16"/>
        <v>99891.75</v>
      </c>
      <c r="I79" s="576">
        <v>7745.85</v>
      </c>
      <c r="J79" s="576">
        <f t="shared" si="17"/>
        <v>107637.6</v>
      </c>
      <c r="K79" s="576">
        <f t="shared" si="21"/>
        <v>14853.988800000003</v>
      </c>
      <c r="L79" s="576">
        <f t="shared" si="18"/>
        <v>538.18799999999999</v>
      </c>
      <c r="M79" s="576">
        <f t="shared" si="19"/>
        <v>22259.455680000003</v>
      </c>
      <c r="N79" s="576">
        <f t="shared" si="20"/>
        <v>145289.23248000001</v>
      </c>
      <c r="O79" s="530"/>
      <c r="P79" s="530"/>
    </row>
    <row r="80" spans="1:22">
      <c r="A80" s="570">
        <v>9</v>
      </c>
      <c r="B80" s="553" t="s">
        <v>1021</v>
      </c>
      <c r="C80" s="529">
        <v>99891.75</v>
      </c>
      <c r="D80" s="529">
        <f t="shared" si="12"/>
        <v>13785.061500000002</v>
      </c>
      <c r="E80" s="554">
        <f t="shared" si="13"/>
        <v>499.45875000000001</v>
      </c>
      <c r="F80" s="529">
        <f t="shared" si="14"/>
        <v>20657.6139</v>
      </c>
      <c r="G80" s="555">
        <f t="shared" si="15"/>
        <v>134833.88415</v>
      </c>
      <c r="H80" s="575">
        <f t="shared" si="16"/>
        <v>99891.75</v>
      </c>
      <c r="I80" s="576">
        <v>7745.85</v>
      </c>
      <c r="J80" s="576">
        <f t="shared" si="17"/>
        <v>107637.6</v>
      </c>
      <c r="K80" s="576">
        <f t="shared" si="21"/>
        <v>14853.988800000003</v>
      </c>
      <c r="L80" s="576">
        <f t="shared" si="18"/>
        <v>538.18799999999999</v>
      </c>
      <c r="M80" s="576">
        <f t="shared" si="19"/>
        <v>22259.455680000003</v>
      </c>
      <c r="N80" s="576">
        <f t="shared" si="20"/>
        <v>145289.23248000001</v>
      </c>
      <c r="O80" s="530"/>
      <c r="P80" s="530"/>
    </row>
    <row r="81" spans="1:16">
      <c r="A81" s="570">
        <v>9</v>
      </c>
      <c r="B81" s="553" t="s">
        <v>1022</v>
      </c>
      <c r="C81" s="529">
        <v>114948.75</v>
      </c>
      <c r="D81" s="529">
        <f t="shared" si="12"/>
        <v>15862.927500000002</v>
      </c>
      <c r="E81" s="554">
        <f t="shared" si="13"/>
        <v>574.74374999999998</v>
      </c>
      <c r="F81" s="529">
        <f t="shared" si="14"/>
        <v>23771.4015</v>
      </c>
      <c r="G81" s="555">
        <f t="shared" si="15"/>
        <v>155157.82275000002</v>
      </c>
      <c r="H81" s="575">
        <f t="shared" si="16"/>
        <v>114948.75</v>
      </c>
      <c r="I81" s="576">
        <v>7745.85</v>
      </c>
      <c r="J81" s="576">
        <f t="shared" si="17"/>
        <v>122694.6</v>
      </c>
      <c r="K81" s="576">
        <f t="shared" si="21"/>
        <v>16931.854800000001</v>
      </c>
      <c r="L81" s="576">
        <f t="shared" si="18"/>
        <v>613.47300000000007</v>
      </c>
      <c r="M81" s="576">
        <f t="shared" si="19"/>
        <v>25373.243280000002</v>
      </c>
      <c r="N81" s="576">
        <f t="shared" si="20"/>
        <v>165613.17108</v>
      </c>
      <c r="O81" s="530"/>
      <c r="P81" s="530"/>
    </row>
    <row r="82" spans="1:16">
      <c r="A82" s="570" t="s">
        <v>971</v>
      </c>
      <c r="B82" s="165">
        <v>1</v>
      </c>
      <c r="C82" s="529">
        <v>88364</v>
      </c>
      <c r="D82" s="529">
        <f t="shared" si="12"/>
        <v>12194.232000000002</v>
      </c>
      <c r="E82" s="394">
        <f t="shared" si="13"/>
        <v>441.82</v>
      </c>
      <c r="F82" s="529">
        <f t="shared" si="14"/>
        <v>18273.675200000001</v>
      </c>
      <c r="G82" s="555">
        <f t="shared" si="15"/>
        <v>119273.72720000001</v>
      </c>
      <c r="H82" s="531"/>
    </row>
    <row r="83" spans="1:16">
      <c r="A83" s="570" t="s">
        <v>971</v>
      </c>
      <c r="B83" s="165">
        <v>2</v>
      </c>
      <c r="C83" s="529">
        <v>91131</v>
      </c>
      <c r="D83" s="529">
        <f t="shared" si="12"/>
        <v>12576.078000000001</v>
      </c>
      <c r="E83" s="394">
        <f t="shared" si="13"/>
        <v>455.65500000000003</v>
      </c>
      <c r="F83" s="529">
        <f t="shared" si="14"/>
        <v>18845.890800000001</v>
      </c>
      <c r="G83" s="555">
        <f t="shared" si="15"/>
        <v>123008.6238</v>
      </c>
    </row>
    <row r="84" spans="1:16">
      <c r="A84" s="570" t="s">
        <v>971</v>
      </c>
      <c r="B84" s="165">
        <v>3</v>
      </c>
      <c r="C84" s="529">
        <v>93898</v>
      </c>
      <c r="D84" s="529">
        <f t="shared" si="12"/>
        <v>12957.924000000001</v>
      </c>
      <c r="E84" s="394">
        <f t="shared" si="13"/>
        <v>469.49</v>
      </c>
      <c r="F84" s="529">
        <f t="shared" si="14"/>
        <v>19418.106400000001</v>
      </c>
      <c r="G84" s="555">
        <f t="shared" si="15"/>
        <v>126743.52040000001</v>
      </c>
    </row>
    <row r="85" spans="1:16">
      <c r="A85" s="570" t="s">
        <v>971</v>
      </c>
      <c r="B85" s="165">
        <v>4</v>
      </c>
      <c r="C85" s="529">
        <v>96665</v>
      </c>
      <c r="D85" s="529">
        <f t="shared" si="12"/>
        <v>13339.77</v>
      </c>
      <c r="E85" s="394">
        <f t="shared" si="13"/>
        <v>483.32499999999999</v>
      </c>
      <c r="F85" s="529">
        <f t="shared" si="14"/>
        <v>19990.322</v>
      </c>
      <c r="G85" s="555">
        <f t="shared" si="15"/>
        <v>130478.417</v>
      </c>
    </row>
    <row r="86" spans="1:16">
      <c r="A86" s="570" t="s">
        <v>971</v>
      </c>
      <c r="B86" s="165">
        <v>5</v>
      </c>
      <c r="C86" s="529">
        <v>99425</v>
      </c>
      <c r="D86" s="529">
        <f t="shared" si="12"/>
        <v>13720.650000000001</v>
      </c>
      <c r="E86" s="394">
        <f t="shared" si="13"/>
        <v>497.125</v>
      </c>
      <c r="F86" s="529">
        <f t="shared" si="14"/>
        <v>20561.09</v>
      </c>
      <c r="G86" s="555">
        <f t="shared" si="15"/>
        <v>134203.86499999999</v>
      </c>
    </row>
    <row r="87" spans="1:16">
      <c r="A87" s="570" t="s">
        <v>971</v>
      </c>
      <c r="B87" s="165">
        <v>6</v>
      </c>
      <c r="C87" s="529">
        <v>99425</v>
      </c>
      <c r="D87" s="529">
        <f t="shared" si="12"/>
        <v>13720.650000000001</v>
      </c>
      <c r="E87" s="394">
        <f t="shared" si="13"/>
        <v>497.125</v>
      </c>
      <c r="F87" s="529">
        <f t="shared" si="14"/>
        <v>20561.09</v>
      </c>
      <c r="G87" s="555">
        <f t="shared" si="15"/>
        <v>134203.86499999999</v>
      </c>
    </row>
    <row r="88" spans="1:16">
      <c r="A88" s="570" t="s">
        <v>971</v>
      </c>
      <c r="B88" s="165">
        <v>7</v>
      </c>
      <c r="C88" s="529">
        <v>99425</v>
      </c>
      <c r="D88" s="529">
        <f t="shared" si="12"/>
        <v>13720.650000000001</v>
      </c>
      <c r="E88" s="394">
        <f t="shared" si="13"/>
        <v>497.125</v>
      </c>
      <c r="F88" s="529">
        <f t="shared" si="14"/>
        <v>20561.09</v>
      </c>
      <c r="G88" s="555">
        <f t="shared" si="15"/>
        <v>134203.86499999999</v>
      </c>
    </row>
    <row r="89" spans="1:16">
      <c r="A89" s="570" t="s">
        <v>971</v>
      </c>
      <c r="B89" s="165">
        <v>8</v>
      </c>
      <c r="C89" s="529">
        <v>99425</v>
      </c>
      <c r="D89" s="529">
        <f t="shared" si="12"/>
        <v>13720.650000000001</v>
      </c>
      <c r="E89" s="394">
        <f t="shared" si="13"/>
        <v>497.125</v>
      </c>
      <c r="F89" s="529">
        <f t="shared" si="14"/>
        <v>20561.09</v>
      </c>
      <c r="G89" s="555">
        <f t="shared" si="15"/>
        <v>134203.86499999999</v>
      </c>
    </row>
    <row r="90" spans="1:16">
      <c r="A90" s="570" t="s">
        <v>971</v>
      </c>
      <c r="B90" s="165">
        <v>9</v>
      </c>
      <c r="C90" s="529">
        <v>105996</v>
      </c>
      <c r="D90" s="529">
        <f t="shared" si="12"/>
        <v>14627.448</v>
      </c>
      <c r="E90" s="394">
        <f t="shared" si="13"/>
        <v>529.98</v>
      </c>
      <c r="F90" s="529">
        <f t="shared" si="14"/>
        <v>21919.9728</v>
      </c>
      <c r="G90" s="555">
        <f t="shared" si="15"/>
        <v>143073.4008</v>
      </c>
    </row>
    <row r="91" spans="1:16">
      <c r="A91" s="570" t="s">
        <v>971</v>
      </c>
      <c r="B91" s="165">
        <v>10</v>
      </c>
      <c r="C91" s="529">
        <v>105996</v>
      </c>
      <c r="D91" s="529">
        <f t="shared" si="12"/>
        <v>14627.448</v>
      </c>
      <c r="E91" s="394">
        <f t="shared" si="13"/>
        <v>529.98</v>
      </c>
      <c r="F91" s="529">
        <f t="shared" si="14"/>
        <v>21919.9728</v>
      </c>
      <c r="G91" s="555">
        <f t="shared" si="15"/>
        <v>143073.4008</v>
      </c>
    </row>
    <row r="92" spans="1:16">
      <c r="A92" s="570" t="s">
        <v>971</v>
      </c>
      <c r="B92" s="165">
        <v>11</v>
      </c>
      <c r="C92" s="529">
        <v>105996</v>
      </c>
      <c r="D92" s="529">
        <f t="shared" si="12"/>
        <v>14627.448</v>
      </c>
      <c r="E92" s="394">
        <f t="shared" si="13"/>
        <v>529.98</v>
      </c>
      <c r="F92" s="529">
        <f t="shared" si="14"/>
        <v>21919.9728</v>
      </c>
      <c r="G92" s="555">
        <f t="shared" si="15"/>
        <v>143073.4008</v>
      </c>
    </row>
    <row r="93" spans="1:16">
      <c r="A93" s="570" t="s">
        <v>971</v>
      </c>
      <c r="B93" s="165">
        <v>12</v>
      </c>
      <c r="C93" s="529">
        <v>105996</v>
      </c>
      <c r="D93" s="529">
        <f t="shared" si="12"/>
        <v>14627.448</v>
      </c>
      <c r="E93" s="394">
        <f t="shared" si="13"/>
        <v>529.98</v>
      </c>
      <c r="F93" s="529">
        <f t="shared" si="14"/>
        <v>21919.9728</v>
      </c>
      <c r="G93" s="555">
        <f t="shared" si="15"/>
        <v>143073.4008</v>
      </c>
    </row>
    <row r="94" spans="1:16">
      <c r="A94" s="570" t="s">
        <v>971</v>
      </c>
      <c r="B94" s="165">
        <v>13</v>
      </c>
      <c r="C94" s="529">
        <v>105996</v>
      </c>
      <c r="D94" s="529">
        <f t="shared" si="12"/>
        <v>14627.448</v>
      </c>
      <c r="E94" s="394">
        <f t="shared" si="13"/>
        <v>529.98</v>
      </c>
      <c r="F94" s="529">
        <f t="shared" si="14"/>
        <v>21919.9728</v>
      </c>
      <c r="G94" s="555">
        <f t="shared" si="15"/>
        <v>143073.4008</v>
      </c>
    </row>
    <row r="95" spans="1:16">
      <c r="A95" s="570" t="s">
        <v>971</v>
      </c>
      <c r="B95" s="165">
        <v>14</v>
      </c>
      <c r="C95" s="529">
        <v>112569</v>
      </c>
      <c r="D95" s="529">
        <f t="shared" si="12"/>
        <v>15534.522000000001</v>
      </c>
      <c r="E95" s="394">
        <f t="shared" si="13"/>
        <v>562.84500000000003</v>
      </c>
      <c r="F95" s="529">
        <f t="shared" si="14"/>
        <v>23279.269200000002</v>
      </c>
      <c r="G95" s="555">
        <f t="shared" si="15"/>
        <v>151945.63620000001</v>
      </c>
    </row>
    <row r="96" spans="1:16">
      <c r="A96" s="570" t="s">
        <v>971</v>
      </c>
      <c r="B96" s="165">
        <v>15</v>
      </c>
      <c r="C96" s="529">
        <v>112569</v>
      </c>
      <c r="D96" s="529">
        <f t="shared" si="12"/>
        <v>15534.522000000001</v>
      </c>
      <c r="E96" s="394">
        <f t="shared" si="13"/>
        <v>562.84500000000003</v>
      </c>
      <c r="F96" s="529">
        <f t="shared" si="14"/>
        <v>23279.269200000002</v>
      </c>
      <c r="G96" s="555">
        <f t="shared" si="15"/>
        <v>151945.63620000001</v>
      </c>
    </row>
    <row r="97" spans="1:229">
      <c r="A97" s="570" t="s">
        <v>971</v>
      </c>
      <c r="B97" s="165">
        <v>16</v>
      </c>
      <c r="C97" s="529">
        <v>112569</v>
      </c>
      <c r="D97" s="529">
        <f t="shared" si="12"/>
        <v>15534.522000000001</v>
      </c>
      <c r="E97" s="394">
        <f t="shared" si="13"/>
        <v>562.84500000000003</v>
      </c>
      <c r="F97" s="529">
        <f t="shared" si="14"/>
        <v>23279.269200000002</v>
      </c>
      <c r="G97" s="555">
        <f t="shared" si="15"/>
        <v>151945.63620000001</v>
      </c>
    </row>
    <row r="98" spans="1:229">
      <c r="A98" s="570" t="s">
        <v>971</v>
      </c>
      <c r="B98" s="165">
        <v>17</v>
      </c>
      <c r="C98" s="529">
        <v>112569</v>
      </c>
      <c r="D98" s="529">
        <f t="shared" si="12"/>
        <v>15534.522000000001</v>
      </c>
      <c r="E98" s="394">
        <f t="shared" si="13"/>
        <v>562.84500000000003</v>
      </c>
      <c r="F98" s="529">
        <f t="shared" si="14"/>
        <v>23279.269200000002</v>
      </c>
      <c r="G98" s="555">
        <f t="shared" si="15"/>
        <v>151945.63620000001</v>
      </c>
    </row>
    <row r="99" spans="1:229">
      <c r="A99" s="570" t="s">
        <v>971</v>
      </c>
      <c r="B99" s="165">
        <v>18</v>
      </c>
      <c r="C99" s="529">
        <v>112569</v>
      </c>
      <c r="D99" s="529">
        <f t="shared" si="12"/>
        <v>15534.522000000001</v>
      </c>
      <c r="E99" s="394">
        <f t="shared" si="13"/>
        <v>562.84500000000003</v>
      </c>
      <c r="F99" s="529">
        <f t="shared" si="14"/>
        <v>23279.269200000002</v>
      </c>
      <c r="G99" s="555">
        <f t="shared" si="15"/>
        <v>151945.63620000001</v>
      </c>
    </row>
    <row r="100" spans="1:229" ht="15" thickBot="1">
      <c r="A100" s="571" t="s">
        <v>971</v>
      </c>
      <c r="B100" s="556">
        <v>19</v>
      </c>
      <c r="C100" s="557">
        <v>119133</v>
      </c>
      <c r="D100" s="557">
        <f t="shared" si="12"/>
        <v>16440.354000000003</v>
      </c>
      <c r="E100" s="558">
        <f t="shared" si="13"/>
        <v>595.66499999999996</v>
      </c>
      <c r="F100" s="557">
        <f t="shared" si="14"/>
        <v>24636.704400000002</v>
      </c>
      <c r="G100" s="559">
        <f t="shared" si="15"/>
        <v>160805.72340000002</v>
      </c>
    </row>
    <row r="101" spans="1:229" ht="23.5" customHeight="1">
      <c r="A101" s="532"/>
      <c r="B101" s="532"/>
      <c r="C101" s="533"/>
      <c r="D101" s="533"/>
      <c r="E101" s="534"/>
      <c r="F101" s="533"/>
      <c r="G101" s="533"/>
    </row>
    <row r="103" spans="1:229" s="4" customFormat="1">
      <c r="A103" s="535" t="s">
        <v>1023</v>
      </c>
      <c r="B103" s="280"/>
      <c r="C103" s="280"/>
      <c r="D103" s="280"/>
      <c r="E103" s="280"/>
      <c r="F103" s="280"/>
      <c r="G103" s="280"/>
      <c r="H103" s="5"/>
      <c r="I103" s="5"/>
      <c r="J103" s="5"/>
      <c r="K103" s="5"/>
      <c r="L103"/>
      <c r="M103" s="5"/>
      <c r="N103" s="5"/>
      <c r="O103" s="5"/>
      <c r="P103" s="5"/>
      <c r="Q103"/>
      <c r="R103" s="526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.5">
      <c r="A104" s="560" t="s">
        <v>1024</v>
      </c>
      <c r="B104" s="560" t="s">
        <v>888</v>
      </c>
      <c r="C104" s="561" t="s">
        <v>889</v>
      </c>
      <c r="D104" s="560" t="s">
        <v>890</v>
      </c>
      <c r="E104" s="562" t="s">
        <v>1131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>
      <c r="A105" s="563">
        <v>153400</v>
      </c>
      <c r="B105" s="536">
        <f>(A105-B110)*0.138</f>
        <v>19913.400000000001</v>
      </c>
      <c r="C105" s="537">
        <f t="shared" ref="C105" si="22">A105*0.005</f>
        <v>767</v>
      </c>
      <c r="D105" s="537">
        <f t="shared" ref="D105" si="23">A105*0.2068</f>
        <v>31723.120000000003</v>
      </c>
      <c r="E105" s="537">
        <f t="shared" ref="E105" si="24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>
      <c r="A106" t="s">
        <v>1025</v>
      </c>
      <c r="F106" s="396" t="s">
        <v>1026</v>
      </c>
      <c r="R106"/>
    </row>
    <row r="107" spans="1:229">
      <c r="R107"/>
    </row>
    <row r="108" spans="1:229" s="4" customFormat="1">
      <c r="A108" s="5"/>
      <c r="B108" s="5"/>
      <c r="C108" s="538"/>
      <c r="D108" s="53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>
      <c r="A109" s="543" t="s">
        <v>1027</v>
      </c>
      <c r="B109" s="543"/>
      <c r="C109" s="543"/>
      <c r="R109"/>
    </row>
    <row r="110" spans="1:229" ht="43.5">
      <c r="A110" s="539" t="s">
        <v>1028</v>
      </c>
      <c r="B110" s="540">
        <v>9100</v>
      </c>
      <c r="C110" s="541">
        <v>0</v>
      </c>
      <c r="R110"/>
    </row>
    <row r="111" spans="1:229" ht="43.5">
      <c r="A111" s="539" t="s">
        <v>1029</v>
      </c>
      <c r="B111" s="542" t="s">
        <v>1030</v>
      </c>
      <c r="C111" s="544">
        <v>0.13800000000000001</v>
      </c>
      <c r="R111"/>
    </row>
    <row r="113" spans="1:1">
      <c r="A113" t="s">
        <v>1031</v>
      </c>
    </row>
  </sheetData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>
      <c r="B2" s="429" t="s">
        <v>14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8"/>
    </row>
    <row r="5" spans="2:17">
      <c r="B5" s="249" t="s">
        <v>1126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250"/>
    </row>
    <row r="6" spans="2:17">
      <c r="B6" s="254" t="s">
        <v>1127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56"/>
    </row>
    <row r="7" spans="2:17">
      <c r="B7" s="252" t="s">
        <v>1128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3"/>
    </row>
    <row r="9" spans="2:17">
      <c r="N9" s="507"/>
      <c r="O9" s="507"/>
      <c r="P9" s="507"/>
    </row>
    <row r="10" spans="2:17">
      <c r="B10" s="249"/>
      <c r="C10" s="447"/>
      <c r="D10" s="447"/>
      <c r="E10" s="447"/>
      <c r="F10" s="447"/>
      <c r="G10" s="447"/>
      <c r="H10" s="250"/>
      <c r="J10" s="249"/>
      <c r="K10" s="447"/>
      <c r="L10" s="447"/>
      <c r="M10" s="447"/>
      <c r="N10" s="247"/>
      <c r="O10" s="247"/>
      <c r="P10" s="247"/>
      <c r="Q10" s="176"/>
    </row>
    <row r="11" spans="2:17" ht="46.5">
      <c r="B11" s="254"/>
      <c r="C11" s="414" t="s">
        <v>15</v>
      </c>
      <c r="D11" s="510"/>
      <c r="E11" s="414" t="s">
        <v>16</v>
      </c>
      <c r="F11" s="510"/>
      <c r="G11" s="506" t="s">
        <v>17</v>
      </c>
      <c r="H11" s="511"/>
      <c r="I11" s="415"/>
      <c r="J11" s="514"/>
      <c r="K11" s="416" t="s">
        <v>18</v>
      </c>
      <c r="L11" s="514"/>
      <c r="M11" s="416" t="s">
        <v>19</v>
      </c>
      <c r="N11" s="510"/>
      <c r="O11" s="416" t="s">
        <v>20</v>
      </c>
      <c r="P11" s="510"/>
      <c r="Q11" s="176"/>
    </row>
    <row r="12" spans="2:17">
      <c r="B12" s="254"/>
      <c r="C12" s="247"/>
      <c r="D12" s="247"/>
      <c r="E12" s="247"/>
      <c r="F12" s="247"/>
      <c r="G12" s="247"/>
      <c r="H12" s="256"/>
      <c r="J12" s="254"/>
      <c r="K12" s="247"/>
      <c r="L12" s="247"/>
      <c r="M12" s="247"/>
      <c r="N12" s="247"/>
      <c r="O12" s="247"/>
      <c r="P12" s="247"/>
      <c r="Q12" s="176"/>
    </row>
    <row r="13" spans="2:17" ht="40" customHeight="1">
      <c r="B13" s="254"/>
      <c r="C13" s="508"/>
      <c r="D13" s="217"/>
      <c r="E13" s="611" t="s">
        <v>21</v>
      </c>
      <c r="F13" s="217"/>
      <c r="G13" s="509"/>
      <c r="H13" s="256"/>
      <c r="J13" s="254"/>
      <c r="K13" s="508"/>
      <c r="L13" s="217"/>
      <c r="M13" s="613" t="s">
        <v>22</v>
      </c>
      <c r="N13" s="217"/>
      <c r="O13" s="509"/>
      <c r="P13" s="247"/>
      <c r="Q13" s="176"/>
    </row>
    <row r="14" spans="2:17">
      <c r="B14" s="254"/>
      <c r="C14" s="247"/>
      <c r="D14" s="247"/>
      <c r="E14" s="247"/>
      <c r="F14" s="247"/>
      <c r="G14" s="247"/>
      <c r="H14" s="256"/>
      <c r="J14" s="254"/>
      <c r="K14" s="247"/>
      <c r="L14" s="247"/>
      <c r="M14" s="247"/>
      <c r="N14" s="247"/>
      <c r="O14" s="247"/>
      <c r="P14" s="247"/>
      <c r="Q14" s="176"/>
    </row>
    <row r="15" spans="2:17" ht="220.5" customHeight="1">
      <c r="B15" s="254"/>
      <c r="C15" s="411" t="s">
        <v>23</v>
      </c>
      <c r="D15" s="512"/>
      <c r="E15" s="412" t="s">
        <v>24</v>
      </c>
      <c r="F15" s="512"/>
      <c r="G15" s="410" t="s">
        <v>25</v>
      </c>
      <c r="H15" s="513"/>
      <c r="I15" s="275"/>
      <c r="J15" s="515"/>
      <c r="K15" s="413" t="s">
        <v>26</v>
      </c>
      <c r="L15" s="515"/>
      <c r="M15" s="450" t="s">
        <v>27</v>
      </c>
      <c r="N15" s="512"/>
      <c r="O15" s="450" t="s">
        <v>28</v>
      </c>
      <c r="P15" s="512"/>
      <c r="Q15" s="176"/>
    </row>
    <row r="16" spans="2:17">
      <c r="B16" s="252"/>
      <c r="C16" s="251"/>
      <c r="D16" s="251"/>
      <c r="E16" s="251"/>
      <c r="F16" s="251"/>
      <c r="G16" s="251"/>
      <c r="H16" s="253"/>
      <c r="J16" s="252"/>
      <c r="K16" s="251"/>
      <c r="L16" s="516"/>
      <c r="M16" s="516"/>
      <c r="N16" s="516"/>
      <c r="O16" s="516"/>
      <c r="P16" s="516"/>
      <c r="Q16" s="176"/>
    </row>
    <row r="19" spans="2:16">
      <c r="B19" s="249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250"/>
    </row>
    <row r="20" spans="2:16">
      <c r="B20" s="254" t="s">
        <v>29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56"/>
    </row>
    <row r="21" spans="2:16">
      <c r="B21" s="517" t="s">
        <v>30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56"/>
    </row>
    <row r="22" spans="2:16">
      <c r="B22" s="518" t="s">
        <v>31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56"/>
    </row>
    <row r="23" spans="2:16">
      <c r="B23" s="519" t="s">
        <v>32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56"/>
    </row>
    <row r="24" spans="2:16">
      <c r="B24" s="518" t="s">
        <v>33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56"/>
    </row>
    <row r="25" spans="2:16">
      <c r="B25" s="518" t="s">
        <v>34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56"/>
    </row>
    <row r="26" spans="2:16">
      <c r="B26" s="254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56"/>
    </row>
    <row r="27" spans="2:16">
      <c r="B27" s="520" t="s">
        <v>35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56"/>
    </row>
    <row r="28" spans="2:16">
      <c r="B28" s="252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3"/>
    </row>
  </sheetData>
  <sheetProtection algorithmName="SHA-512" hashValue="n864gC+7ERqepzn65OonEHAGT0mSP+q3E7gJ9JYfwQCf6+J7WMA/V197lJfbGRXE2nJsPgYlHL0qjZ14GpUWyA==" saltValue="xOl9Wfu/j8c2CU1tF/a/e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R108"/>
  <sheetViews>
    <sheetView showGridLines="0" tabSelected="1" topLeftCell="A40" zoomScale="80" zoomScaleNormal="80" workbookViewId="0"/>
  </sheetViews>
  <sheetFormatPr defaultRowHeight="14.5"/>
  <cols>
    <col min="1" max="1" width="2.453125" customWidth="1"/>
    <col min="2" max="2" width="5.81640625" customWidth="1"/>
    <col min="3" max="3" width="41.1796875" customWidth="1"/>
    <col min="4" max="4" width="19.453125" customWidth="1"/>
    <col min="5" max="5" width="13.7265625" customWidth="1"/>
    <col min="6" max="6" width="14.7265625" customWidth="1"/>
    <col min="7" max="12" width="13.453125" customWidth="1"/>
    <col min="13" max="13" width="3.26953125" customWidth="1"/>
  </cols>
  <sheetData>
    <row r="2" spans="2:18" ht="20">
      <c r="B2" s="171" t="s">
        <v>36</v>
      </c>
      <c r="C2" s="171"/>
      <c r="D2" s="170"/>
      <c r="E2" s="187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4" spans="2:18">
      <c r="B4" s="172" t="s">
        <v>37</v>
      </c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173"/>
    </row>
    <row r="5" spans="2:18">
      <c r="B5" s="176"/>
      <c r="C5" t="s">
        <v>38</v>
      </c>
      <c r="M5" s="175"/>
    </row>
    <row r="6" spans="2:18">
      <c r="B6" s="176"/>
      <c r="C6" t="s">
        <v>39</v>
      </c>
      <c r="M6" s="175"/>
    </row>
    <row r="7" spans="2:18">
      <c r="B7" s="176"/>
      <c r="C7" t="s">
        <v>40</v>
      </c>
      <c r="M7" s="175"/>
    </row>
    <row r="8" spans="2:18"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5"/>
    </row>
    <row r="9" spans="2:18">
      <c r="M9" s="217"/>
    </row>
    <row r="10" spans="2:18">
      <c r="B10" s="172" t="s">
        <v>41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175"/>
    </row>
    <row r="11" spans="2:18">
      <c r="B11" s="174"/>
      <c r="C11" t="s">
        <v>42</v>
      </c>
      <c r="E11" s="166" t="s">
        <v>43</v>
      </c>
      <c r="M11" s="175"/>
    </row>
    <row r="12" spans="2:18">
      <c r="B12" s="174"/>
      <c r="C12" t="s">
        <v>44</v>
      </c>
      <c r="E12" s="166" t="s">
        <v>45</v>
      </c>
      <c r="G12" s="141">
        <f>'Population selection'!F16</f>
        <v>44456850</v>
      </c>
      <c r="H12" t="str">
        <f>C24&amp;" population based on selection on left"</f>
        <v>Adult population population based on selection on left</v>
      </c>
      <c r="M12" s="175"/>
    </row>
    <row r="13" spans="2:18">
      <c r="B13" s="174"/>
      <c r="C13" s="164"/>
      <c r="M13" s="175"/>
    </row>
    <row r="14" spans="2:18">
      <c r="B14" s="176"/>
      <c r="C14" t="s">
        <v>46</v>
      </c>
      <c r="E14" s="663" t="s">
        <v>47</v>
      </c>
      <c r="F14" s="186" t="str">
        <f>IF(E14="yes","","If no, enter current locality population below")</f>
        <v/>
      </c>
      <c r="M14" s="175"/>
    </row>
    <row r="15" spans="2:18">
      <c r="B15" s="176"/>
      <c r="F15" s="186" t="str">
        <f>IF(AND(NOT(ISBLANK(E16)),E14="yes"),"error - change cell above to 'no'","")</f>
        <v/>
      </c>
      <c r="M15" s="175"/>
    </row>
    <row r="16" spans="2:18">
      <c r="B16" s="176"/>
      <c r="C16" t="str">
        <f>"Manually entered current locality population "&amp;IF(E14="no","","(n/a)")</f>
        <v>Manually entered current locality population (n/a)</v>
      </c>
      <c r="E16" s="664"/>
      <c r="F16" s="186" t="str">
        <f>IF(E14="yes","Leave blue cell on left blank if NICE estimate is used","")</f>
        <v>Leave blue cell on left blank if NICE estimate is used</v>
      </c>
      <c r="M16" s="175"/>
    </row>
    <row r="17" spans="2:18">
      <c r="B17" s="176"/>
      <c r="F17" s="186" t="str">
        <f>IF(AND(ISBLANK(E16),E14="no"),"error - enter current locality population above","")</f>
        <v/>
      </c>
      <c r="M17" s="175"/>
    </row>
    <row r="18" spans="2:18">
      <c r="B18" s="176"/>
      <c r="C18" t="s">
        <v>48</v>
      </c>
      <c r="D18" s="168"/>
      <c r="E18" s="665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M18" s="175"/>
    </row>
    <row r="19" spans="2:18">
      <c r="B19" s="176"/>
      <c r="C19" t="s">
        <v>49</v>
      </c>
      <c r="D19" s="168"/>
      <c r="E19" s="665">
        <v>0</v>
      </c>
      <c r="F19" t="str">
        <f>IF(E19=0,"Enter local value or delete the NICE assumption if required","Local value")</f>
        <v>Enter local value or delete the NICE assumption if required</v>
      </c>
      <c r="M19" s="175"/>
    </row>
    <row r="20" spans="2:18"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</row>
    <row r="22" spans="2:18">
      <c r="B22" s="172" t="s">
        <v>50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173"/>
    </row>
    <row r="23" spans="2:18" ht="91.5" customHeight="1">
      <c r="B23" s="174"/>
      <c r="F23" s="270" t="s">
        <v>51</v>
      </c>
      <c r="G23" s="181" t="s">
        <v>52</v>
      </c>
      <c r="H23" s="249" t="s">
        <v>53</v>
      </c>
      <c r="I23" s="447"/>
      <c r="J23" s="447"/>
      <c r="K23" s="447"/>
      <c r="L23" s="447"/>
      <c r="M23" s="447"/>
      <c r="N23" s="447"/>
      <c r="O23" s="447"/>
      <c r="P23" s="447"/>
      <c r="Q23" s="447"/>
      <c r="R23" s="250"/>
    </row>
    <row r="24" spans="2:18">
      <c r="B24" s="174"/>
      <c r="C24" s="269" t="s">
        <v>54</v>
      </c>
      <c r="D24" s="272"/>
      <c r="E24" s="184"/>
      <c r="F24" s="141">
        <f>'Population selection'!F16</f>
        <v>44456850</v>
      </c>
      <c r="G24" s="271"/>
      <c r="H24" s="268" t="s">
        <v>55</v>
      </c>
      <c r="I24" s="217"/>
      <c r="J24" s="217"/>
      <c r="K24" s="217"/>
      <c r="L24" s="217"/>
      <c r="M24" s="217"/>
      <c r="N24" s="217"/>
      <c r="O24" s="217"/>
      <c r="P24" s="217"/>
      <c r="Q24" s="217"/>
      <c r="R24" s="184"/>
    </row>
    <row r="25" spans="2:18">
      <c r="B25" s="174"/>
      <c r="C25" s="273" t="s">
        <v>56</v>
      </c>
      <c r="D25" s="274"/>
      <c r="E25" s="184"/>
      <c r="F25" s="228"/>
      <c r="G25" s="141">
        <f>K43</f>
        <v>46263200.000000007</v>
      </c>
      <c r="H25" s="268" t="s">
        <v>55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9"/>
    </row>
    <row r="26" spans="2:18">
      <c r="B26" s="176"/>
      <c r="C26" s="183" t="s">
        <v>1034</v>
      </c>
      <c r="D26" s="184"/>
      <c r="E26" s="665">
        <v>1.1196249846761523E-3</v>
      </c>
      <c r="F26" s="666">
        <f>E26*F24</f>
        <v>49775</v>
      </c>
      <c r="G26" s="666">
        <f>E26*K42*K43</f>
        <v>51797.434591069774</v>
      </c>
      <c r="H26" s="396" t="s">
        <v>1035</v>
      </c>
      <c r="I26" s="217"/>
      <c r="J26" s="217"/>
      <c r="K26" s="217"/>
      <c r="L26" s="217"/>
      <c r="M26" s="217"/>
      <c r="N26" s="217"/>
      <c r="O26" s="217"/>
      <c r="P26" s="217"/>
      <c r="Q26" s="217"/>
      <c r="R26" s="184"/>
    </row>
    <row r="27" spans="2:18">
      <c r="B27" s="176"/>
      <c r="C27" s="183" t="s">
        <v>1037</v>
      </c>
      <c r="D27" s="184"/>
      <c r="E27" s="665">
        <v>0.17199999999999999</v>
      </c>
      <c r="F27" s="666">
        <f>E27*F26</f>
        <v>8561.2999999999993</v>
      </c>
      <c r="G27" s="666">
        <f>E27*G26</f>
        <v>8909.1587496640004</v>
      </c>
      <c r="H27" s="707" t="s">
        <v>1036</v>
      </c>
      <c r="I27" s="708"/>
      <c r="J27" s="708"/>
      <c r="K27" s="708"/>
      <c r="L27" s="708"/>
      <c r="M27" s="708"/>
      <c r="N27" s="708"/>
      <c r="O27" s="708"/>
      <c r="P27" s="708"/>
      <c r="Q27" s="708"/>
      <c r="R27" s="709"/>
    </row>
    <row r="28" spans="2:18" ht="29.15" customHeight="1">
      <c r="B28" s="176"/>
      <c r="C28" s="183" t="s">
        <v>1038</v>
      </c>
      <c r="D28" s="184"/>
      <c r="E28" s="665">
        <v>0.82499999999999996</v>
      </c>
      <c r="F28" s="666">
        <f>E28*F27</f>
        <v>7063.0724999999993</v>
      </c>
      <c r="G28" s="666">
        <f>E28*G27</f>
        <v>7350.0559684727996</v>
      </c>
      <c r="H28" s="707" t="s">
        <v>1039</v>
      </c>
      <c r="I28" s="710"/>
      <c r="J28" s="710"/>
      <c r="K28" s="710"/>
      <c r="L28" s="710"/>
      <c r="M28" s="710"/>
      <c r="N28" s="710"/>
      <c r="O28" s="710"/>
      <c r="P28" s="710"/>
      <c r="Q28" s="710"/>
      <c r="R28" s="711"/>
    </row>
    <row r="29" spans="2:18" ht="29.15" customHeight="1">
      <c r="B29" s="176"/>
      <c r="C29" s="248" t="s">
        <v>1040</v>
      </c>
      <c r="D29" s="422"/>
      <c r="E29" s="667">
        <v>1.7500000000000002E-2</v>
      </c>
      <c r="F29" s="668">
        <f>E29*F28</f>
        <v>123.60376875</v>
      </c>
      <c r="G29" s="668">
        <f>E29*G28</f>
        <v>128.62597944827399</v>
      </c>
      <c r="H29" s="705" t="s">
        <v>1041</v>
      </c>
      <c r="I29" s="274"/>
      <c r="J29" s="274"/>
      <c r="K29" s="274"/>
      <c r="L29" s="274"/>
      <c r="M29" s="274"/>
      <c r="N29" s="274"/>
      <c r="O29" s="274"/>
      <c r="P29" s="274"/>
      <c r="Q29" s="274"/>
      <c r="R29" s="635"/>
    </row>
    <row r="30" spans="2:18" ht="29.15" customHeight="1">
      <c r="B30" s="176"/>
      <c r="C30" s="183" t="s">
        <v>1042</v>
      </c>
      <c r="D30" s="184"/>
      <c r="E30" s="665">
        <v>0.82799999999999996</v>
      </c>
      <c r="F30" s="666">
        <f>E30*F26</f>
        <v>41213.699999999997</v>
      </c>
      <c r="G30" s="666">
        <f>E30*G26</f>
        <v>42888.275841405768</v>
      </c>
      <c r="H30" s="704" t="s">
        <v>1035</v>
      </c>
      <c r="I30" s="274"/>
      <c r="J30" s="274"/>
      <c r="K30" s="274"/>
      <c r="L30" s="274"/>
      <c r="M30" s="274"/>
      <c r="N30" s="274"/>
      <c r="O30" s="274"/>
      <c r="P30" s="274"/>
      <c r="Q30" s="274"/>
      <c r="R30" s="635"/>
    </row>
    <row r="31" spans="2:18" ht="29.15" customHeight="1">
      <c r="B31" s="176"/>
      <c r="C31" s="183" t="s">
        <v>1043</v>
      </c>
      <c r="D31" s="184"/>
      <c r="E31" s="665">
        <v>0.3</v>
      </c>
      <c r="F31" s="666">
        <f>E31*F30</f>
        <v>12364.109999999999</v>
      </c>
      <c r="G31" s="666">
        <f>E31*G30</f>
        <v>12866.482752421731</v>
      </c>
      <c r="H31" t="s">
        <v>1129</v>
      </c>
      <c r="I31" s="274"/>
      <c r="J31" s="274"/>
      <c r="K31" s="274"/>
      <c r="L31" s="274"/>
      <c r="M31" s="274"/>
      <c r="N31" s="274"/>
      <c r="O31" s="274"/>
      <c r="P31" s="274"/>
      <c r="Q31" s="274"/>
      <c r="R31" s="635"/>
    </row>
    <row r="32" spans="2:18" ht="33.65" customHeight="1">
      <c r="B32" s="176"/>
      <c r="C32" s="183" t="s">
        <v>1038</v>
      </c>
      <c r="D32" s="184"/>
      <c r="E32" s="665">
        <v>0.82499999999999996</v>
      </c>
      <c r="F32" s="666">
        <f>E32*F31</f>
        <v>10200.390749999999</v>
      </c>
      <c r="G32" s="666">
        <f>E32*G31</f>
        <v>10614.848270747927</v>
      </c>
      <c r="H32" s="220" t="s">
        <v>57</v>
      </c>
      <c r="I32" s="217"/>
      <c r="J32" s="217"/>
      <c r="K32" s="217"/>
      <c r="L32" s="217"/>
      <c r="M32" s="217"/>
      <c r="N32" s="217"/>
      <c r="O32" s="217"/>
      <c r="P32" s="217"/>
      <c r="Q32" s="217"/>
      <c r="R32" s="184"/>
    </row>
    <row r="33" spans="2:18" ht="30" customHeight="1">
      <c r="B33" s="176"/>
      <c r="C33" s="248" t="s">
        <v>1040</v>
      </c>
      <c r="D33" s="422"/>
      <c r="E33" s="667">
        <v>1.7500000000000002E-2</v>
      </c>
      <c r="F33" s="668">
        <f>E33*F32</f>
        <v>178.506838125</v>
      </c>
      <c r="G33" s="668">
        <f>E33*G32</f>
        <v>185.75984473808873</v>
      </c>
      <c r="H33" s="396" t="s">
        <v>1041</v>
      </c>
      <c r="I33" s="217"/>
      <c r="J33" s="217"/>
      <c r="K33" s="217"/>
      <c r="L33" s="217"/>
      <c r="M33" s="217"/>
      <c r="N33" s="217"/>
      <c r="O33" s="217"/>
      <c r="P33" s="217"/>
      <c r="Q33" s="217"/>
      <c r="R33" s="184"/>
    </row>
    <row r="34" spans="2:18">
      <c r="B34" s="176"/>
      <c r="C34" s="248" t="s">
        <v>58</v>
      </c>
      <c r="D34" s="217"/>
      <c r="E34" s="648"/>
      <c r="F34" s="200">
        <f>+F33+F29</f>
        <v>302.11060687500003</v>
      </c>
      <c r="G34" s="200">
        <f>+G33+G29</f>
        <v>314.3858241863627</v>
      </c>
      <c r="H34" s="220"/>
      <c r="I34" s="217"/>
      <c r="J34" s="217"/>
      <c r="K34" s="217"/>
      <c r="L34" s="217"/>
      <c r="M34" s="217"/>
      <c r="N34" s="217"/>
      <c r="O34" s="217"/>
      <c r="P34" s="217"/>
      <c r="Q34" s="217"/>
      <c r="R34" s="184"/>
    </row>
    <row r="35" spans="2:18">
      <c r="B35" s="176"/>
      <c r="C35" s="402"/>
      <c r="E35" s="403"/>
      <c r="F35" s="404"/>
      <c r="G35" s="404"/>
      <c r="H35" s="209"/>
      <c r="R35" s="175"/>
    </row>
    <row r="36" spans="2:18">
      <c r="B36" s="176"/>
      <c r="C36" t="s">
        <v>59</v>
      </c>
      <c r="F36" s="663" t="s">
        <v>47</v>
      </c>
      <c r="G36" s="404"/>
      <c r="H36" s="209"/>
      <c r="R36" s="175"/>
    </row>
    <row r="37" spans="2:18">
      <c r="B37" s="176"/>
      <c r="C37" s="402"/>
      <c r="E37" s="403"/>
      <c r="F37" s="404"/>
      <c r="G37" s="404"/>
      <c r="H37" s="209"/>
      <c r="R37" s="175"/>
    </row>
    <row r="38" spans="2:18">
      <c r="B38" s="176"/>
      <c r="C38" t="str">
        <f>"Manually entered current eligible population "&amp;IF(F36="no","","(n/a)")</f>
        <v>Manually entered current eligible population (n/a)</v>
      </c>
      <c r="F38" s="669"/>
      <c r="G38" s="643" t="str">
        <f>IF(F36="yes","Leave blue cell on left blank if NICE estimate is used","enter local value on left")</f>
        <v>Leave blue cell on left blank if NICE estimate is used</v>
      </c>
      <c r="R38" s="175"/>
    </row>
    <row r="39" spans="2:18">
      <c r="B39" s="176"/>
      <c r="G39" s="644" t="str">
        <f>IF(AND(F36="yes",F38&gt;0),"error, set the drop down above to be 'no'","")</f>
        <v/>
      </c>
      <c r="R39" s="175"/>
    </row>
    <row r="40" spans="2:18" ht="43.5">
      <c r="B40" s="176"/>
      <c r="C40" s="178"/>
      <c r="F40" s="266" t="s">
        <v>51</v>
      </c>
      <c r="G40" s="181" t="s">
        <v>60</v>
      </c>
      <c r="H40" s="181" t="s">
        <v>61</v>
      </c>
      <c r="I40" s="267" t="s">
        <v>62</v>
      </c>
      <c r="J40" s="181" t="s">
        <v>63</v>
      </c>
      <c r="K40" s="181" t="s">
        <v>64</v>
      </c>
      <c r="R40" s="175"/>
    </row>
    <row r="41" spans="2:18">
      <c r="B41" s="176"/>
      <c r="C41" s="268" t="s">
        <v>65</v>
      </c>
      <c r="D41" s="217"/>
      <c r="E41" s="184"/>
      <c r="F41" s="228"/>
      <c r="G41" s="393">
        <f>IF(E18&lt;&gt;"",E18+100%,100%)</f>
        <v>1.0079973639975557</v>
      </c>
      <c r="H41" s="393">
        <f>IF($E$18&lt;&gt;"",G41*(100%+$E$18),100%)</f>
        <v>1.0160586858260208</v>
      </c>
      <c r="I41" s="393">
        <f>IF($E$18&lt;&gt;"",H41*(100%+$E$18),100%)</f>
        <v>1.0241844769794495</v>
      </c>
      <c r="J41" s="393">
        <f>IF($E$18&lt;&gt;"",I41*(100%+$E$18),100%)</f>
        <v>1.0323752530425003</v>
      </c>
      <c r="K41" s="393">
        <f>IF($E$18&lt;&gt;"",J41*(100%+$E$18),100%)</f>
        <v>1.0406315337231498</v>
      </c>
      <c r="L41" t="s">
        <v>66</v>
      </c>
      <c r="R41" s="175"/>
    </row>
    <row r="42" spans="2:18">
      <c r="B42" s="176"/>
      <c r="C42" s="268" t="s">
        <v>67</v>
      </c>
      <c r="D42" s="217"/>
      <c r="E42" s="184"/>
      <c r="F42" s="228"/>
      <c r="G42" s="393">
        <f>IF(E19&lt;&gt;"",E19+100%,100%)</f>
        <v>1</v>
      </c>
      <c r="H42" s="393">
        <f>IF($E$19&lt;&gt;"",G42*(100%+$E$19),100%)</f>
        <v>1</v>
      </c>
      <c r="I42" s="393">
        <f>IF($E$19&lt;&gt;"",H42*(100%+$E$19),100%)</f>
        <v>1</v>
      </c>
      <c r="J42" s="393">
        <f>IF($E$19&lt;&gt;"",I42*(100%+$E$19),100%)</f>
        <v>1</v>
      </c>
      <c r="K42" s="393">
        <f>IF($E$19&lt;&gt;"",J42*(100%+$E$19),100%)</f>
        <v>1</v>
      </c>
      <c r="L42" t="s">
        <v>66</v>
      </c>
      <c r="R42" s="175"/>
    </row>
    <row r="43" spans="2:18">
      <c r="B43" s="176"/>
      <c r="C43" s="445" t="str">
        <f>IF('Inputs and eligible population'!E16=0,"Baseline population (inflated by growth(s))","Manually entered locality population (inflated by growth(s))")</f>
        <v>Baseline population (inflated by growth(s))</v>
      </c>
      <c r="D43" s="217"/>
      <c r="E43" s="184"/>
      <c r="F43" s="141">
        <f>'Population selection'!$F$16</f>
        <v>44456850</v>
      </c>
      <c r="G43" s="141">
        <f>F43*G41</f>
        <v>44812387.611634731</v>
      </c>
      <c r="H43" s="141">
        <f>F43*H41</f>
        <v>45170768.586964533</v>
      </c>
      <c r="I43" s="141">
        <f>F43*I41</f>
        <v>45532015.665403835</v>
      </c>
      <c r="J43" s="141">
        <f>F43*J41</f>
        <v>45896151.768222481</v>
      </c>
      <c r="K43" s="141">
        <f>F43*K41</f>
        <v>46263200.000000007</v>
      </c>
      <c r="R43" s="175"/>
    </row>
    <row r="44" spans="2:18">
      <c r="B44" s="176"/>
      <c r="C44" s="248" t="str">
        <f>IF(ISBLANK(F38),"Eligible population, NICE estimate","Eligible population, local estimate")</f>
        <v>Eligible population, NICE estimate</v>
      </c>
      <c r="D44" s="217"/>
      <c r="E44" s="184"/>
      <c r="F44" s="200">
        <f>IF(ISBLANK(F38),F34,F38)</f>
        <v>302.11060687500003</v>
      </c>
      <c r="G44" s="200">
        <f>$F$44*G41*G42</f>
        <v>304.52669536570187</v>
      </c>
      <c r="H44" s="200">
        <f>$F$44*H41*H42</f>
        <v>306.96210619551414</v>
      </c>
      <c r="I44" s="200">
        <f>$F$44*I41*I42</f>
        <v>309.416993892216</v>
      </c>
      <c r="J44" s="200">
        <f>$F$44*J41*J42</f>
        <v>311.89151421940147</v>
      </c>
      <c r="K44" s="200">
        <f>$F$44*K41*K42</f>
        <v>314.38582418636281</v>
      </c>
      <c r="L44" s="186" t="str">
        <f>IF(F36="no","this row not used; local estimate below is used","")</f>
        <v/>
      </c>
      <c r="R44" s="175"/>
    </row>
    <row r="45" spans="2:18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9"/>
    </row>
    <row r="48" spans="2:18">
      <c r="B48" s="172" t="s">
        <v>68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173"/>
    </row>
    <row r="49" spans="2:13">
      <c r="B49" s="176"/>
      <c r="D49" s="231" t="s">
        <v>69</v>
      </c>
      <c r="E49" s="231" t="s">
        <v>70</v>
      </c>
      <c r="F49" s="231" t="s">
        <v>71</v>
      </c>
      <c r="G49" s="231" t="s">
        <v>72</v>
      </c>
      <c r="H49" s="231" t="s">
        <v>73</v>
      </c>
      <c r="I49" s="231" t="s">
        <v>74</v>
      </c>
      <c r="J49" s="231" t="s">
        <v>75</v>
      </c>
      <c r="K49" s="231" t="s">
        <v>76</v>
      </c>
      <c r="M49" s="175"/>
    </row>
    <row r="50" spans="2:13">
      <c r="B50" s="176"/>
      <c r="C50" s="168" t="s">
        <v>1044</v>
      </c>
      <c r="D50" s="670">
        <v>30</v>
      </c>
      <c r="E50" s="670">
        <v>1</v>
      </c>
      <c r="F50" s="670">
        <v>12</v>
      </c>
      <c r="G50" s="671"/>
      <c r="H50" s="671"/>
      <c r="I50" s="671"/>
      <c r="J50" s="671"/>
      <c r="K50" s="165">
        <f>SUM(F50:J50)</f>
        <v>12</v>
      </c>
      <c r="M50" s="175"/>
    </row>
    <row r="51" spans="2:13">
      <c r="B51" s="176"/>
      <c r="D51" s="168"/>
      <c r="E51" s="168"/>
      <c r="F51" s="168"/>
      <c r="G51" s="168"/>
      <c r="M51" s="175"/>
    </row>
    <row r="52" spans="2:13" ht="32.15" customHeight="1">
      <c r="B52" s="176"/>
      <c r="C52" s="228" t="s">
        <v>77</v>
      </c>
      <c r="D52" s="233" t="s">
        <v>78</v>
      </c>
      <c r="E52" s="229"/>
      <c r="F52" s="229"/>
      <c r="G52" s="229"/>
      <c r="H52" s="230"/>
      <c r="I52" s="231" t="s">
        <v>79</v>
      </c>
      <c r="J52" s="181" t="s">
        <v>80</v>
      </c>
      <c r="K52" s="231" t="s">
        <v>81</v>
      </c>
      <c r="M52" s="175"/>
    </row>
    <row r="53" spans="2:13" ht="43.5">
      <c r="B53" s="176"/>
      <c r="C53" s="389" t="s">
        <v>1047</v>
      </c>
      <c r="D53" s="220" t="s">
        <v>1045</v>
      </c>
      <c r="E53" s="221"/>
      <c r="F53" s="221"/>
      <c r="G53" s="221"/>
      <c r="H53" s="184"/>
      <c r="I53" s="672"/>
      <c r="J53" s="673">
        <v>0.2</v>
      </c>
      <c r="K53" s="703" t="s">
        <v>1133</v>
      </c>
      <c r="M53" s="175"/>
    </row>
    <row r="54" spans="2:13" ht="43.5">
      <c r="B54" s="176"/>
      <c r="C54" s="389" t="s">
        <v>1048</v>
      </c>
      <c r="D54" s="220" t="s">
        <v>1045</v>
      </c>
      <c r="E54" s="221"/>
      <c r="F54" s="221"/>
      <c r="G54" s="221"/>
      <c r="H54" s="184"/>
      <c r="I54" s="672"/>
      <c r="J54" s="673">
        <v>0</v>
      </c>
      <c r="K54" s="703" t="s">
        <v>1133</v>
      </c>
      <c r="M54" s="175"/>
    </row>
    <row r="55" spans="2:13">
      <c r="B55" s="176"/>
      <c r="C55" s="214" t="s">
        <v>1046</v>
      </c>
      <c r="D55" s="168"/>
      <c r="E55" s="168"/>
      <c r="F55" s="168"/>
      <c r="G55" s="168"/>
      <c r="M55" s="175"/>
    </row>
    <row r="56" spans="2:13">
      <c r="B56" s="176"/>
      <c r="D56" s="168"/>
      <c r="E56" s="168"/>
      <c r="F56" s="168"/>
      <c r="G56" s="168"/>
      <c r="M56" s="175"/>
    </row>
    <row r="57" spans="2:13">
      <c r="B57" s="176"/>
      <c r="M57" s="175"/>
    </row>
    <row r="58" spans="2:13">
      <c r="B58" s="176"/>
      <c r="C58" s="164" t="s">
        <v>82</v>
      </c>
      <c r="M58" s="175"/>
    </row>
    <row r="59" spans="2:13" ht="29">
      <c r="B59" s="176"/>
      <c r="D59" s="409" t="s">
        <v>83</v>
      </c>
      <c r="E59" s="650" t="s">
        <v>1090</v>
      </c>
      <c r="F59" s="232" t="s">
        <v>84</v>
      </c>
      <c r="G59" s="232" t="s">
        <v>85</v>
      </c>
      <c r="H59" s="232" t="s">
        <v>86</v>
      </c>
      <c r="I59" s="231" t="s">
        <v>87</v>
      </c>
      <c r="J59" s="231" t="s">
        <v>88</v>
      </c>
      <c r="M59" s="175"/>
    </row>
    <row r="60" spans="2:13">
      <c r="B60" s="176"/>
      <c r="D60" s="395" t="s">
        <v>1049</v>
      </c>
      <c r="E60" s="674">
        <v>0</v>
      </c>
      <c r="F60" s="674">
        <v>0.75</v>
      </c>
      <c r="G60" s="674">
        <v>0.95</v>
      </c>
      <c r="H60" s="674">
        <v>0.95</v>
      </c>
      <c r="I60" s="674">
        <v>0.95</v>
      </c>
      <c r="J60" s="674">
        <v>0.95</v>
      </c>
      <c r="M60" s="175"/>
    </row>
    <row r="61" spans="2:13">
      <c r="B61" s="176"/>
      <c r="E61" s="167">
        <f t="shared" ref="E61:J61" si="0">SUM(E60:E60)</f>
        <v>0</v>
      </c>
      <c r="F61" s="167">
        <f t="shared" si="0"/>
        <v>0.75</v>
      </c>
      <c r="G61" s="167">
        <f t="shared" si="0"/>
        <v>0.95</v>
      </c>
      <c r="H61" s="167">
        <f t="shared" si="0"/>
        <v>0.95</v>
      </c>
      <c r="I61" s="167">
        <f t="shared" si="0"/>
        <v>0.95</v>
      </c>
      <c r="J61" s="167">
        <f t="shared" si="0"/>
        <v>0.95</v>
      </c>
      <c r="M61" s="175"/>
    </row>
    <row r="62" spans="2:13">
      <c r="B62" s="176"/>
      <c r="C62" t="s">
        <v>1099</v>
      </c>
      <c r="E62" s="398"/>
      <c r="F62" s="398"/>
      <c r="G62" s="398"/>
      <c r="H62" s="398"/>
      <c r="I62" s="398"/>
      <c r="J62" s="398"/>
      <c r="M62" s="175"/>
    </row>
    <row r="63" spans="2:13">
      <c r="B63" s="177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9"/>
    </row>
    <row r="64" spans="2:13">
      <c r="D64" s="217"/>
      <c r="K64" s="217"/>
    </row>
    <row r="65" spans="2:13">
      <c r="B65" s="172" t="s">
        <v>89</v>
      </c>
      <c r="C65" s="378"/>
      <c r="E65" s="378"/>
      <c r="F65" s="378"/>
      <c r="G65" s="378"/>
      <c r="H65" s="378"/>
      <c r="I65" s="378"/>
      <c r="J65" s="378"/>
      <c r="L65" s="378"/>
      <c r="M65" s="173"/>
    </row>
    <row r="66" spans="2:13">
      <c r="B66" s="176" t="s">
        <v>90</v>
      </c>
      <c r="M66" s="175"/>
    </row>
    <row r="67" spans="2:13">
      <c r="B67" s="176" t="s">
        <v>91</v>
      </c>
      <c r="M67" s="175"/>
    </row>
    <row r="68" spans="2:13">
      <c r="B68" s="176"/>
      <c r="C68" s="395"/>
      <c r="D68" s="234"/>
      <c r="E68" s="234"/>
      <c r="F68" s="234"/>
      <c r="M68" s="175"/>
    </row>
    <row r="69" spans="2:13" ht="43" customHeight="1">
      <c r="B69" s="176"/>
      <c r="C69" s="453" t="s">
        <v>92</v>
      </c>
      <c r="D69" s="453" t="s">
        <v>93</v>
      </c>
      <c r="E69" s="453" t="s">
        <v>94</v>
      </c>
      <c r="F69" s="636" t="s">
        <v>1050</v>
      </c>
      <c r="G69" s="638"/>
      <c r="H69" s="453" t="s">
        <v>95</v>
      </c>
      <c r="I69" s="453" t="s">
        <v>96</v>
      </c>
      <c r="K69" s="706"/>
      <c r="M69" s="175"/>
    </row>
    <row r="70" spans="2:13" ht="29">
      <c r="B70" s="176"/>
      <c r="C70" s="332" t="s">
        <v>97</v>
      </c>
      <c r="D70" s="181" t="s">
        <v>98</v>
      </c>
      <c r="E70" s="181" t="s">
        <v>99</v>
      </c>
      <c r="F70" s="670">
        <v>1</v>
      </c>
      <c r="G70" s="176"/>
      <c r="H70" s="228"/>
      <c r="I70" s="228"/>
      <c r="M70" s="175"/>
    </row>
    <row r="71" spans="2:13" ht="29">
      <c r="B71" s="176"/>
      <c r="C71" s="332" t="s">
        <v>97</v>
      </c>
      <c r="D71" s="181" t="s">
        <v>100</v>
      </c>
      <c r="E71" s="181" t="s">
        <v>99</v>
      </c>
      <c r="F71" s="670">
        <f>F50-1</f>
        <v>11</v>
      </c>
      <c r="G71" s="176"/>
      <c r="H71" s="228"/>
      <c r="I71" s="228"/>
      <c r="M71" s="175"/>
    </row>
    <row r="72" spans="2:13" ht="43.5">
      <c r="B72" s="176"/>
      <c r="C72" s="451" t="s">
        <v>101</v>
      </c>
      <c r="D72" s="181" t="s">
        <v>102</v>
      </c>
      <c r="E72" s="181" t="s">
        <v>99</v>
      </c>
      <c r="F72" s="670">
        <v>0</v>
      </c>
      <c r="G72" s="176"/>
      <c r="H72" s="676" t="s">
        <v>103</v>
      </c>
      <c r="I72" s="677">
        <f>VLOOKUP(H72,payscales!$Q$5:$V$41,6,0)</f>
        <v>38.99</v>
      </c>
      <c r="M72" s="175"/>
    </row>
    <row r="73" spans="2:13" ht="43.5">
      <c r="B73" s="176"/>
      <c r="C73" s="451" t="s">
        <v>101</v>
      </c>
      <c r="D73" s="181" t="s">
        <v>104</v>
      </c>
      <c r="E73" s="181" t="s">
        <v>99</v>
      </c>
      <c r="F73" s="670">
        <v>0</v>
      </c>
      <c r="G73" s="176"/>
      <c r="H73" s="678" t="s">
        <v>103</v>
      </c>
      <c r="I73" s="677">
        <f>VLOOKUP(H73,payscales!$Q$5:$V$41,6,0)</f>
        <v>38.99</v>
      </c>
      <c r="M73" s="175"/>
    </row>
    <row r="74" spans="2:13" ht="29">
      <c r="B74" s="176"/>
      <c r="C74" s="451" t="s">
        <v>101</v>
      </c>
      <c r="D74" s="181" t="s">
        <v>105</v>
      </c>
      <c r="E74" s="181" t="s">
        <v>99</v>
      </c>
      <c r="F74" s="670">
        <v>0</v>
      </c>
      <c r="G74" s="176"/>
      <c r="H74" s="678" t="s">
        <v>106</v>
      </c>
      <c r="I74" s="677">
        <f>VLOOKUP(H74,payscales!$Q$5:$V$41,6,0)</f>
        <v>25.71</v>
      </c>
      <c r="M74" s="175"/>
    </row>
    <row r="75" spans="2:13" ht="43.5">
      <c r="B75" s="176"/>
      <c r="C75" s="452" t="s">
        <v>107</v>
      </c>
      <c r="D75" s="181" t="s">
        <v>108</v>
      </c>
      <c r="E75" s="181" t="s">
        <v>99</v>
      </c>
      <c r="F75" s="670">
        <v>0</v>
      </c>
      <c r="G75" s="176"/>
      <c r="H75" s="231"/>
      <c r="I75" s="231"/>
      <c r="M75" s="175"/>
    </row>
    <row r="76" spans="2:13" ht="43.5">
      <c r="B76" s="176"/>
      <c r="C76" s="452" t="s">
        <v>107</v>
      </c>
      <c r="D76" s="267" t="s">
        <v>109</v>
      </c>
      <c r="E76" s="181" t="s">
        <v>99</v>
      </c>
      <c r="F76" s="670">
        <v>0</v>
      </c>
      <c r="G76" s="176"/>
      <c r="H76" s="231"/>
      <c r="I76" s="231"/>
      <c r="M76" s="175"/>
    </row>
    <row r="77" spans="2:13" ht="43.5">
      <c r="B77" s="176"/>
      <c r="C77" s="452" t="s">
        <v>107</v>
      </c>
      <c r="D77" s="181" t="s">
        <v>108</v>
      </c>
      <c r="E77" s="181" t="s">
        <v>110</v>
      </c>
      <c r="F77" s="670">
        <v>0</v>
      </c>
      <c r="G77" s="176"/>
      <c r="H77" s="678" t="s">
        <v>103</v>
      </c>
      <c r="I77" s="677">
        <f>VLOOKUP(H77,payscales!$Q$5:$V$41,6,0)</f>
        <v>38.99</v>
      </c>
      <c r="M77" s="175"/>
    </row>
    <row r="78" spans="2:13" ht="43.5">
      <c r="B78" s="176"/>
      <c r="C78" s="452" t="s">
        <v>107</v>
      </c>
      <c r="D78" s="267" t="s">
        <v>109</v>
      </c>
      <c r="E78" s="181" t="s">
        <v>110</v>
      </c>
      <c r="F78" s="670">
        <v>0</v>
      </c>
      <c r="G78" s="176"/>
      <c r="H78" s="678" t="s">
        <v>103</v>
      </c>
      <c r="I78" s="677">
        <f>VLOOKUP(H78,payscales!$Q$5:$V$41,6,0)</f>
        <v>38.99</v>
      </c>
      <c r="M78" s="175"/>
    </row>
    <row r="79" spans="2:13" ht="29">
      <c r="B79" s="176"/>
      <c r="C79" s="452" t="s">
        <v>107</v>
      </c>
      <c r="D79" s="181" t="s">
        <v>111</v>
      </c>
      <c r="E79" s="181" t="s">
        <v>99</v>
      </c>
      <c r="F79" s="675">
        <v>5</v>
      </c>
      <c r="G79" s="176"/>
      <c r="H79" s="678" t="s">
        <v>112</v>
      </c>
      <c r="I79" s="677">
        <f>VLOOKUP(H79,payscales!$Q$5:$V$41,6,0)</f>
        <v>43.28</v>
      </c>
      <c r="M79" s="175"/>
    </row>
    <row r="80" spans="2:13" ht="29">
      <c r="B80" s="176"/>
      <c r="C80" s="454" t="s">
        <v>113</v>
      </c>
      <c r="D80" s="181" t="s">
        <v>114</v>
      </c>
      <c r="E80" s="181" t="s">
        <v>115</v>
      </c>
      <c r="F80" s="670">
        <f>F50</f>
        <v>12</v>
      </c>
      <c r="G80" s="176"/>
      <c r="H80" s="678" t="s">
        <v>116</v>
      </c>
      <c r="I80" s="677">
        <f>VLOOKUP(H80,payscales!$Q$5:$V$41,6,0)</f>
        <v>103.98</v>
      </c>
      <c r="M80" s="175"/>
    </row>
    <row r="81" spans="2:13" ht="30" customHeight="1">
      <c r="B81" s="176"/>
      <c r="C81" s="455" t="s">
        <v>117</v>
      </c>
      <c r="D81" s="181" t="s">
        <v>1051</v>
      </c>
      <c r="E81" s="181" t="s">
        <v>115</v>
      </c>
      <c r="F81" s="670">
        <f>F80</f>
        <v>12</v>
      </c>
      <c r="G81" s="176"/>
      <c r="H81" s="678" t="s">
        <v>103</v>
      </c>
      <c r="I81" s="677">
        <f>VLOOKUP(H81,payscales!$Q$5:$V$41,6,0)</f>
        <v>38.99</v>
      </c>
      <c r="M81" s="175"/>
    </row>
    <row r="82" spans="2:13" ht="58">
      <c r="B82" s="176"/>
      <c r="C82" s="408" t="s">
        <v>119</v>
      </c>
      <c r="D82" s="408" t="s">
        <v>1100</v>
      </c>
      <c r="E82" s="181" t="s">
        <v>115</v>
      </c>
      <c r="F82" s="662">
        <f>'Unit costs'!C50</f>
        <v>0.67099999999999993</v>
      </c>
      <c r="G82" s="637"/>
      <c r="H82" s="231"/>
      <c r="I82" s="228"/>
      <c r="M82" s="175"/>
    </row>
    <row r="83" spans="2:13">
      <c r="B83" s="176"/>
      <c r="C83" s="395"/>
      <c r="D83" s="234"/>
      <c r="E83" s="234"/>
      <c r="F83" s="234"/>
      <c r="M83" s="175"/>
    </row>
    <row r="84" spans="2:13">
      <c r="B84" s="176"/>
      <c r="C84" s="218" t="s">
        <v>120</v>
      </c>
      <c r="D84" s="168"/>
      <c r="M84" s="175"/>
    </row>
    <row r="85" spans="2:13">
      <c r="B85" s="176"/>
      <c r="C85" s="209" t="s">
        <v>121</v>
      </c>
      <c r="D85" s="168"/>
      <c r="M85" s="175"/>
    </row>
    <row r="86" spans="2:13">
      <c r="B86" s="176"/>
      <c r="C86" s="639" t="s">
        <v>1102</v>
      </c>
      <c r="D86" s="168"/>
      <c r="M86" s="175"/>
    </row>
    <row r="87" spans="2:13">
      <c r="B87" s="176"/>
      <c r="C87" t="s">
        <v>1104</v>
      </c>
      <c r="D87" s="168"/>
      <c r="H87" s="397"/>
      <c r="M87" s="175"/>
    </row>
    <row r="88" spans="2:13">
      <c r="B88" s="176"/>
      <c r="C88" t="s">
        <v>122</v>
      </c>
      <c r="D88" s="168"/>
      <c r="M88" s="175"/>
    </row>
    <row r="89" spans="2:13">
      <c r="B89" s="176"/>
      <c r="C89" t="s">
        <v>1084</v>
      </c>
      <c r="D89" s="168"/>
      <c r="H89" s="610"/>
      <c r="M89" s="175"/>
    </row>
    <row r="90" spans="2:13">
      <c r="B90" s="176"/>
      <c r="C90" t="s">
        <v>123</v>
      </c>
      <c r="D90" s="168"/>
      <c r="M90" s="175"/>
    </row>
    <row r="91" spans="2:13">
      <c r="B91" s="177"/>
      <c r="C91" s="178"/>
      <c r="D91" s="180"/>
      <c r="E91" s="180"/>
      <c r="F91" s="180"/>
      <c r="G91" s="180"/>
      <c r="H91" s="178"/>
      <c r="I91" s="178"/>
      <c r="J91" s="178"/>
      <c r="K91" s="178"/>
      <c r="L91" s="178"/>
      <c r="M91" s="179"/>
    </row>
    <row r="92" spans="2:13">
      <c r="D92" s="168"/>
      <c r="E92" s="168"/>
      <c r="F92" s="168"/>
      <c r="G92" s="168"/>
    </row>
    <row r="93" spans="2:13">
      <c r="B93" s="448" t="s">
        <v>124</v>
      </c>
      <c r="C93" s="447"/>
      <c r="D93" s="447"/>
      <c r="E93" s="447"/>
      <c r="F93" s="447"/>
      <c r="G93" s="447"/>
      <c r="H93" s="447"/>
      <c r="I93" s="447"/>
      <c r="J93" s="447"/>
      <c r="K93" s="447"/>
      <c r="L93" s="447"/>
      <c r="M93" s="250"/>
    </row>
    <row r="94" spans="2:13">
      <c r="B94" s="254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56"/>
    </row>
    <row r="95" spans="2:13">
      <c r="B95" s="254"/>
      <c r="C95" s="255" t="s">
        <v>125</v>
      </c>
      <c r="D95" s="247"/>
      <c r="E95" s="247"/>
      <c r="F95" s="247"/>
      <c r="G95" s="247"/>
      <c r="H95" s="247"/>
      <c r="I95" s="247"/>
      <c r="J95" s="247"/>
      <c r="K95" s="247"/>
      <c r="L95" s="247"/>
      <c r="M95" s="256"/>
    </row>
    <row r="96" spans="2:13">
      <c r="B96" s="254"/>
      <c r="C96" s="257" t="s">
        <v>126</v>
      </c>
      <c r="D96" s="247"/>
      <c r="E96" s="247"/>
      <c r="F96" s="247"/>
      <c r="G96" s="247"/>
      <c r="H96" s="247"/>
      <c r="I96" s="247"/>
      <c r="J96" s="247"/>
      <c r="K96" s="247"/>
      <c r="L96" s="247"/>
      <c r="M96" s="256"/>
    </row>
    <row r="97" spans="2:13">
      <c r="B97" s="254"/>
      <c r="C97" s="258" t="s">
        <v>127</v>
      </c>
      <c r="D97" s="247"/>
      <c r="E97" s="247"/>
      <c r="F97" s="247"/>
      <c r="G97" s="247"/>
      <c r="H97" s="247"/>
      <c r="I97" s="247"/>
      <c r="J97" s="247"/>
      <c r="K97" s="247"/>
      <c r="L97" s="247"/>
      <c r="M97" s="256"/>
    </row>
    <row r="98" spans="2:13">
      <c r="B98" s="254"/>
      <c r="C98" s="255" t="s">
        <v>128</v>
      </c>
      <c r="D98" s="247"/>
      <c r="E98" s="247"/>
      <c r="F98" s="247"/>
      <c r="G98" s="247"/>
      <c r="H98" s="247"/>
      <c r="I98" s="247"/>
      <c r="J98" s="247"/>
      <c r="K98" s="247"/>
      <c r="L98" s="247"/>
      <c r="M98" s="256"/>
    </row>
    <row r="99" spans="2:13">
      <c r="B99" s="254"/>
      <c r="C99" s="258"/>
      <c r="D99" s="247"/>
      <c r="E99" s="247"/>
      <c r="F99" s="247"/>
      <c r="G99" s="247"/>
      <c r="H99" s="247"/>
      <c r="I99" s="247"/>
      <c r="J99" s="247"/>
      <c r="K99" s="247"/>
      <c r="L99" s="247"/>
      <c r="M99" s="256"/>
    </row>
    <row r="100" spans="2:13">
      <c r="B100" s="254"/>
      <c r="C100" s="259" t="s">
        <v>129</v>
      </c>
      <c r="D100" s="247"/>
      <c r="E100" s="247"/>
      <c r="F100" s="247"/>
      <c r="G100" s="247"/>
      <c r="H100" s="247"/>
      <c r="I100" s="247"/>
      <c r="J100" s="247"/>
      <c r="K100" s="247"/>
      <c r="L100" s="247"/>
      <c r="M100" s="256"/>
    </row>
    <row r="101" spans="2:13">
      <c r="B101" s="254"/>
      <c r="C101" s="258" t="s">
        <v>130</v>
      </c>
      <c r="D101" s="247"/>
      <c r="E101" s="247"/>
      <c r="F101" s="247"/>
      <c r="G101" s="247"/>
      <c r="H101" s="247"/>
      <c r="I101" s="247"/>
      <c r="J101" s="247"/>
      <c r="K101" s="247"/>
      <c r="L101" s="247"/>
      <c r="M101" s="256"/>
    </row>
    <row r="102" spans="2:13">
      <c r="B102" s="254"/>
      <c r="C102" s="260"/>
      <c r="D102" s="247"/>
      <c r="E102" s="247"/>
      <c r="F102" s="247"/>
      <c r="G102" s="247"/>
      <c r="H102" s="247"/>
      <c r="I102" s="247"/>
      <c r="J102" s="247"/>
      <c r="K102" s="247"/>
      <c r="L102" s="247"/>
      <c r="M102" s="256"/>
    </row>
    <row r="103" spans="2:13">
      <c r="B103" s="254"/>
      <c r="C103" s="261" t="s">
        <v>131</v>
      </c>
      <c r="D103" s="247"/>
      <c r="E103" s="247"/>
      <c r="F103" s="247"/>
      <c r="G103" s="247"/>
      <c r="H103" s="247"/>
      <c r="I103" s="247"/>
      <c r="J103" s="247"/>
      <c r="K103" s="247"/>
      <c r="L103" s="247"/>
      <c r="M103" s="256"/>
    </row>
    <row r="104" spans="2:13">
      <c r="B104" s="254"/>
      <c r="C104" s="262" t="s">
        <v>132</v>
      </c>
      <c r="D104" s="247"/>
      <c r="E104" s="247"/>
      <c r="F104" s="247"/>
      <c r="G104" s="247"/>
      <c r="H104" s="247"/>
      <c r="I104" s="247"/>
      <c r="J104" s="247"/>
      <c r="K104" s="247"/>
      <c r="L104" s="247"/>
      <c r="M104" s="256"/>
    </row>
    <row r="105" spans="2:13">
      <c r="B105" s="254"/>
      <c r="C105" s="263"/>
      <c r="D105" s="247"/>
      <c r="E105" s="247"/>
      <c r="F105" s="247"/>
      <c r="G105" s="247"/>
      <c r="H105" s="247"/>
      <c r="I105" s="247"/>
      <c r="J105" s="247"/>
      <c r="K105" s="247"/>
      <c r="L105" s="247"/>
      <c r="M105" s="256"/>
    </row>
    <row r="106" spans="2:13">
      <c r="B106" s="254"/>
      <c r="C106" s="264" t="s">
        <v>133</v>
      </c>
      <c r="D106" s="247"/>
      <c r="E106" s="247"/>
      <c r="F106" s="247"/>
      <c r="G106" s="247"/>
      <c r="H106" s="247"/>
      <c r="I106" s="247"/>
      <c r="J106" s="247"/>
      <c r="K106" s="247"/>
      <c r="L106" s="247"/>
      <c r="M106" s="256"/>
    </row>
    <row r="107" spans="2:13">
      <c r="B107" s="254"/>
      <c r="C107" s="258" t="s">
        <v>134</v>
      </c>
      <c r="D107" s="247"/>
      <c r="E107" s="247"/>
      <c r="F107" s="247"/>
      <c r="G107" s="247"/>
      <c r="H107" s="247"/>
      <c r="I107" s="247"/>
      <c r="J107" s="247"/>
      <c r="K107" s="247"/>
      <c r="L107" s="247"/>
      <c r="M107" s="256"/>
    </row>
    <row r="108" spans="2:13">
      <c r="B108" s="252"/>
      <c r="C108" s="265"/>
      <c r="D108" s="251"/>
      <c r="E108" s="251"/>
      <c r="F108" s="251"/>
      <c r="G108" s="251"/>
      <c r="H108" s="251"/>
      <c r="I108" s="251"/>
      <c r="J108" s="251"/>
      <c r="K108" s="251"/>
      <c r="L108" s="251"/>
      <c r="M108" s="253"/>
    </row>
  </sheetData>
  <sheetProtection algorithmName="SHA-512" hashValue="NWul3OjAUdHWh80M4FQ4kH7luiXhjvUPIpB6lbWOZhCHW0Wo5LrWiDJm8wIvs5TYOz7WqSppF0+vT0XjsTtzoQ==" saltValue="PEZBaHTFPrY7eEzrieB3tQ==" spinCount="100000" sheet="1" objects="1" scenarios="1"/>
  <protectedRanges>
    <protectedRange sqref="E11:E12 E14 E16 E18:E19 I53:J54 E26:G33 F38 F36 G34:G37 E34:F35 E37:F37 G39 D50:J50 G83:H83 G68:H68 E60:J60 F70:G81" name="Range1"/>
  </protectedRanges>
  <mergeCells count="2">
    <mergeCell ref="H27:R27"/>
    <mergeCell ref="H28:R28"/>
  </mergeCells>
  <phoneticPr fontId="47" type="noConversion"/>
  <conditionalFormatting sqref="G12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97" r:id="rId1" xr:uid="{3E56B085-8BEA-41F7-A453-E331716102DF}"/>
    <hyperlink ref="C101" r:id="rId2" xr:uid="{72D7579A-277C-4987-88D3-C190B9D884D9}"/>
    <hyperlink ref="C107" r:id="rId3" xr:uid="{127FDF93-1746-4D95-887A-A14BC7354BFF}"/>
    <hyperlink ref="C104" r:id="rId4" xr:uid="{5EB5954B-28AC-479B-A51D-BF310381DC53}"/>
    <hyperlink ref="H27" r:id="rId5" display="Cancer survival in England: adult, stage at diagnosis and childhood - patients followed up to 2018 (ONS 2019) 6,457 stage III &amp; IV cancers from 34,131 cancers staged for cancer site uterus." xr:uid="{4A6F30F9-1C83-4C3B-81FB-9417663821F4}"/>
    <hyperlink ref="H28" r:id="rId6" display="Cancer survival in England: adult, stage at diagnosis and childhood - patients followed up to 2018 (ONS 2019) 6,457 stage III &amp; IV cancers from 34,131 cancers staged for cancer site uterus." xr:uid="{8519880D-6068-45F4-A696-53C3BB549AC1}"/>
    <hyperlink ref="K53" r:id="rId7" display="BNF" xr:uid="{29B0F1E9-017B-4600-94A9-8DAC38B068A5}"/>
    <hyperlink ref="C86" r:id="rId8" display="Duration of administrations as per SmPC" xr:uid="{70C73DD3-4E20-4FE6-B042-D5BE210B36F5}"/>
    <hyperlink ref="H26" r:id="rId9" display="https://digital.nhs.uk/data-and-information/publications/statistical/cancer-registration-statistics/england-2021---summary-counts-only" xr:uid="{16BFD33C-36FB-4ABC-8C1B-8D19D85C75D7}"/>
    <hyperlink ref="H29" r:id="rId10" display="https://www.healthpolicypartnership.com/app/uploads/Genetic-testing-for-BRCA-mutations-UK.pdf" xr:uid="{21E1CE5C-5270-4428-BED6-B9CD5A58D6DB}"/>
    <hyperlink ref="H27:R27" r:id="rId11" display="Early Diagnosis (shinyapps.io)" xr:uid="{CF9373A6-9CCB-4EE9-A805-CC2E6887A7B2}"/>
    <hyperlink ref="H33" r:id="rId12" display="https://www.healthpolicypartnership.com/app/uploads/Genetic-testing-for-BRCA-mutations-UK.pdf" xr:uid="{739268AA-278E-4393-8B4A-0FE3BF2DF128}"/>
    <hyperlink ref="H30" r:id="rId13" display="https://digital.nhs.uk/data-and-information/publications/statistical/cancer-registration-statistics/england-2021---summary-counts-only" xr:uid="{646AF83C-8F46-4BE2-B6DA-AC416677B922}"/>
    <hyperlink ref="K54" r:id="rId14" display="BNF" xr:uid="{4AB3871B-50BC-41AC-B0B6-FDFA58C232AA}"/>
  </hyperlinks>
  <pageMargins left="0.7" right="0.7" top="0.75" bottom="0.75" header="0.3" footer="0.3"/>
  <pageSetup paperSize="9" scale="49" orientation="portrait" verticalDpi="300" r:id="rId15"/>
  <rowBreaks count="1" manualBreakCount="1">
    <brk id="57" max="12" man="1"/>
  </rowBreaks>
  <ignoredErrors>
    <ignoredError sqref="K50" formulaRange="1"/>
    <ignoredError sqref="F30:G30" formula="1"/>
    <ignoredError sqref="F82" unlockedFormula="1"/>
  </ignoredErrors>
  <legacyDrawing r:id="rId1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F36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H72:H74 H77:H81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57"/>
  <sheetViews>
    <sheetView showGridLines="0" zoomScale="80" zoomScaleNormal="80" workbookViewId="0"/>
  </sheetViews>
  <sheetFormatPr defaultColWidth="9.1796875" defaultRowHeight="12.5"/>
  <cols>
    <col min="1" max="1" width="3.54296875" style="3" customWidth="1"/>
    <col min="2" max="2" width="30.1796875" style="3" customWidth="1"/>
    <col min="3" max="3" width="29.81640625" style="3" bestFit="1" customWidth="1"/>
    <col min="4" max="4" width="11.816406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7265625" style="3" customWidth="1"/>
    <col min="13" max="13" width="12.7265625" style="3" customWidth="1"/>
    <col min="14" max="14" width="12.453125" style="3" customWidth="1"/>
    <col min="15" max="15" width="9.1796875" style="3" customWidth="1"/>
    <col min="16" max="17" width="12.1796875" style="3" customWidth="1"/>
    <col min="18" max="18" width="14.7265625" style="3" bestFit="1" customWidth="1"/>
    <col min="19" max="19" width="2.7265625" style="3" customWidth="1"/>
    <col min="20" max="20" width="9.453125" style="3" customWidth="1"/>
    <col min="21" max="16384" width="9.1796875" style="3"/>
  </cols>
  <sheetData>
    <row r="1" spans="1:22" ht="30" customHeight="1">
      <c r="A1" s="211"/>
      <c r="B1" s="679" t="s">
        <v>1076</v>
      </c>
      <c r="C1" s="163"/>
      <c r="D1" s="144"/>
      <c r="E1" s="144"/>
      <c r="F1" s="144"/>
      <c r="G1" s="144"/>
      <c r="H1" s="144"/>
      <c r="I1" s="144" t="s">
        <v>135</v>
      </c>
      <c r="J1" s="144" t="s">
        <v>135</v>
      </c>
      <c r="K1" s="144" t="s">
        <v>135</v>
      </c>
      <c r="L1" s="144" t="s">
        <v>135</v>
      </c>
      <c r="M1" s="144" t="s">
        <v>135</v>
      </c>
      <c r="N1" s="169"/>
      <c r="O1" s="211"/>
      <c r="P1" s="211"/>
      <c r="Q1" s="211"/>
      <c r="R1" s="211"/>
      <c r="S1" s="211"/>
    </row>
    <row r="2" spans="1:22" ht="26.25" customHeight="1">
      <c r="A2" s="211"/>
      <c r="B2" s="161" t="s">
        <v>136</v>
      </c>
      <c r="C2" s="162" t="s">
        <v>135</v>
      </c>
      <c r="D2" s="144" t="s">
        <v>135</v>
      </c>
      <c r="E2" s="144" t="s">
        <v>135</v>
      </c>
      <c r="F2" s="144" t="s">
        <v>135</v>
      </c>
      <c r="G2" s="144" t="s">
        <v>135</v>
      </c>
      <c r="H2" s="144" t="s">
        <v>135</v>
      </c>
      <c r="I2" s="144" t="s">
        <v>135</v>
      </c>
      <c r="J2" s="144" t="s">
        <v>135</v>
      </c>
      <c r="K2" s="145" t="s">
        <v>135</v>
      </c>
      <c r="L2" s="145"/>
      <c r="M2" s="145"/>
      <c r="N2" s="145"/>
      <c r="O2" s="211"/>
      <c r="P2" s="211"/>
      <c r="Q2" s="211"/>
      <c r="R2" s="211"/>
      <c r="S2" s="211"/>
    </row>
    <row r="3" spans="1:22" ht="14.5" customHeight="1">
      <c r="A3" s="211"/>
      <c r="B3" s="142"/>
      <c r="C3" s="163"/>
      <c r="D3" s="144"/>
      <c r="E3" s="144"/>
      <c r="F3" s="144"/>
      <c r="G3" s="144" t="s">
        <v>135</v>
      </c>
      <c r="H3" s="144" t="s">
        <v>135</v>
      </c>
      <c r="I3" s="144" t="s">
        <v>135</v>
      </c>
      <c r="J3" s="144" t="s">
        <v>135</v>
      </c>
      <c r="K3" s="145" t="s">
        <v>135</v>
      </c>
      <c r="L3" s="145"/>
      <c r="M3" s="145"/>
      <c r="N3" s="145"/>
      <c r="O3" s="211"/>
      <c r="P3" s="211"/>
      <c r="Q3" s="211"/>
      <c r="R3" s="211"/>
      <c r="S3" s="211"/>
    </row>
    <row r="4" spans="1:22" ht="14.5" customHeight="1">
      <c r="A4" s="211"/>
      <c r="B4" t="s">
        <v>137</v>
      </c>
      <c r="C4" s="163"/>
      <c r="D4" s="144"/>
      <c r="E4" s="144"/>
      <c r="F4" s="144"/>
      <c r="G4" s="144" t="s">
        <v>135</v>
      </c>
      <c r="H4" s="144" t="s">
        <v>135</v>
      </c>
      <c r="I4" s="144" t="s">
        <v>135</v>
      </c>
      <c r="J4" s="144" t="s">
        <v>135</v>
      </c>
      <c r="K4" s="145" t="s">
        <v>135</v>
      </c>
      <c r="L4" s="144"/>
      <c r="M4" s="145"/>
      <c r="N4" s="145"/>
      <c r="O4" s="145"/>
      <c r="P4" s="145"/>
      <c r="Q4" s="145"/>
      <c r="R4" s="145"/>
      <c r="S4" s="145"/>
    </row>
    <row r="5" spans="1:22" ht="14.5" customHeight="1">
      <c r="A5" s="211"/>
      <c r="B5" t="s">
        <v>39</v>
      </c>
      <c r="C5" s="163"/>
      <c r="D5" s="144"/>
      <c r="E5" s="144"/>
      <c r="F5" s="144"/>
      <c r="G5" s="144"/>
      <c r="H5" s="144" t="s">
        <v>135</v>
      </c>
      <c r="I5" s="144" t="s">
        <v>135</v>
      </c>
      <c r="J5" s="144" t="s">
        <v>135</v>
      </c>
      <c r="K5" s="145" t="s">
        <v>135</v>
      </c>
      <c r="L5" s="144"/>
      <c r="M5" s="145"/>
      <c r="N5" s="145"/>
      <c r="O5" s="145"/>
      <c r="P5" s="145"/>
      <c r="Q5" s="145"/>
      <c r="R5" s="145"/>
      <c r="S5" s="145"/>
    </row>
    <row r="6" spans="1:22" ht="14.5" customHeight="1">
      <c r="A6" s="211"/>
      <c r="B6"/>
      <c r="C6" s="163"/>
      <c r="D6" s="144"/>
      <c r="E6" s="144"/>
      <c r="F6" s="144"/>
      <c r="G6" s="144"/>
      <c r="H6" s="144"/>
      <c r="I6" s="144"/>
      <c r="J6" s="144"/>
      <c r="K6" s="145"/>
      <c r="L6" s="144"/>
      <c r="M6" s="145"/>
      <c r="N6" s="145"/>
      <c r="O6" s="145"/>
      <c r="P6" s="145"/>
      <c r="Q6" s="145"/>
      <c r="R6" s="145"/>
      <c r="S6" s="145"/>
    </row>
    <row r="7" spans="1:22" s="278" customFormat="1" ht="14.5">
      <c r="A7" s="280"/>
      <c r="B7" s="276" t="s">
        <v>138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V7" s="3"/>
    </row>
    <row r="8" spans="1:22" s="278" customFormat="1" ht="49" customHeight="1">
      <c r="A8" s="280"/>
      <c r="B8" s="279" t="s">
        <v>139</v>
      </c>
      <c r="C8" s="281" t="s">
        <v>140</v>
      </c>
      <c r="D8" s="279" t="s">
        <v>141</v>
      </c>
      <c r="E8" s="279" t="s">
        <v>142</v>
      </c>
      <c r="F8" s="282" t="s">
        <v>143</v>
      </c>
      <c r="G8" s="282" t="s">
        <v>144</v>
      </c>
      <c r="H8" s="282" t="s">
        <v>145</v>
      </c>
      <c r="I8" s="283" t="s">
        <v>146</v>
      </c>
      <c r="J8" s="282" t="s">
        <v>147</v>
      </c>
      <c r="K8" s="282" t="s">
        <v>148</v>
      </c>
      <c r="L8" s="282" t="s">
        <v>149</v>
      </c>
      <c r="M8" s="282" t="s">
        <v>150</v>
      </c>
      <c r="N8" s="281" t="s">
        <v>151</v>
      </c>
      <c r="O8" s="279" t="s">
        <v>152</v>
      </c>
      <c r="P8" s="282" t="s">
        <v>153</v>
      </c>
      <c r="Q8" s="279" t="s">
        <v>154</v>
      </c>
      <c r="R8" s="282" t="s">
        <v>155</v>
      </c>
      <c r="S8" s="280"/>
      <c r="V8" s="3"/>
    </row>
    <row r="9" spans="1:22" s="278" customFormat="1" ht="14.5">
      <c r="A9" s="280"/>
      <c r="B9" s="681" t="s">
        <v>1055</v>
      </c>
      <c r="C9" s="681" t="s">
        <v>1052</v>
      </c>
      <c r="D9" s="682">
        <v>1</v>
      </c>
      <c r="E9" s="683" t="s">
        <v>156</v>
      </c>
      <c r="F9" s="683" t="s">
        <v>156</v>
      </c>
      <c r="G9" s="682">
        <f>D9</f>
        <v>1</v>
      </c>
      <c r="H9" s="681">
        <f>'Inputs and eligible population'!D50</f>
        <v>30</v>
      </c>
      <c r="I9" s="684">
        <v>1</v>
      </c>
      <c r="J9" s="685" t="s">
        <v>1053</v>
      </c>
      <c r="K9" s="682">
        <v>30</v>
      </c>
      <c r="L9" s="682">
        <v>1</v>
      </c>
      <c r="M9" s="682">
        <f>L9*K9</f>
        <v>30</v>
      </c>
      <c r="N9" s="686"/>
      <c r="O9" s="681">
        <v>12</v>
      </c>
      <c r="P9" s="685" t="s">
        <v>1054</v>
      </c>
      <c r="Q9" s="687">
        <f>'Inputs and eligible population'!J53</f>
        <v>0.2</v>
      </c>
      <c r="R9" s="688">
        <f>ROUNDUP(G9*H9/M9,0)*O9*N9*(100%+Q9)</f>
        <v>0</v>
      </c>
      <c r="S9" s="280"/>
      <c r="V9" s="3"/>
    </row>
    <row r="10" spans="1:22" s="278" customFormat="1" ht="14.5">
      <c r="A10" s="280"/>
      <c r="B10" s="681" t="s">
        <v>1050</v>
      </c>
      <c r="C10" s="284" t="s">
        <v>157</v>
      </c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5"/>
      <c r="R10" s="689">
        <f>SUM(R9:R9)</f>
        <v>0</v>
      </c>
      <c r="S10" s="280"/>
      <c r="V10" s="3"/>
    </row>
    <row r="11" spans="1:22" s="278" customFormat="1" ht="14.5">
      <c r="A11" s="280"/>
      <c r="B11" s="276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V11" s="3"/>
    </row>
    <row r="12" spans="1:22" s="278" customFormat="1" ht="14.5">
      <c r="A12" s="280"/>
      <c r="B12" s="681" t="s">
        <v>1056</v>
      </c>
      <c r="C12" s="681" t="s">
        <v>1052</v>
      </c>
      <c r="D12" s="682">
        <v>1</v>
      </c>
      <c r="E12" s="683" t="s">
        <v>156</v>
      </c>
      <c r="F12" s="683" t="s">
        <v>156</v>
      </c>
      <c r="G12" s="682">
        <f>D12</f>
        <v>1</v>
      </c>
      <c r="H12" s="681">
        <v>30</v>
      </c>
      <c r="I12" s="684">
        <v>1</v>
      </c>
      <c r="J12" s="685" t="s">
        <v>1053</v>
      </c>
      <c r="K12" s="682">
        <v>30</v>
      </c>
      <c r="L12" s="682">
        <v>1</v>
      </c>
      <c r="M12" s="682">
        <f>L12*K12</f>
        <v>30</v>
      </c>
      <c r="N12" s="686"/>
      <c r="O12" s="681">
        <v>12</v>
      </c>
      <c r="P12" s="685" t="s">
        <v>1054</v>
      </c>
      <c r="Q12" s="687">
        <f>'Inputs and eligible population'!J56</f>
        <v>0</v>
      </c>
      <c r="R12" s="688">
        <f>ROUNDUP(G12*H12/M12,0)*O12*N12*(100%+Q12)</f>
        <v>0</v>
      </c>
      <c r="S12" s="280"/>
      <c r="V12" s="3"/>
    </row>
    <row r="13" spans="1:22" s="278" customFormat="1" ht="14.5">
      <c r="A13" s="280"/>
      <c r="B13" s="681" t="s">
        <v>1050</v>
      </c>
      <c r="C13" s="284" t="s">
        <v>157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5"/>
      <c r="R13" s="689">
        <f>SUM(R12:R12)</f>
        <v>0</v>
      </c>
      <c r="S13" s="280"/>
      <c r="V13" s="3"/>
    </row>
    <row r="14" spans="1:22" s="278" customFormat="1" ht="14.5">
      <c r="A14" s="280"/>
      <c r="B14" s="276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V14" s="3"/>
    </row>
    <row r="15" spans="1:22" s="278" customFormat="1" ht="14.5">
      <c r="A15" s="280"/>
      <c r="B15" s="276" t="s">
        <v>1067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V15" s="3"/>
    </row>
    <row r="16" spans="1:22" s="278" customFormat="1" ht="14.5">
      <c r="A16" s="280"/>
      <c r="B16" s="284" t="s">
        <v>1068</v>
      </c>
      <c r="C16" s="285"/>
      <c r="D16" s="687">
        <v>0.5</v>
      </c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V16" s="3"/>
    </row>
    <row r="17" spans="1:22" s="278" customFormat="1" ht="14.5">
      <c r="A17" s="280"/>
      <c r="B17" s="284" t="s">
        <v>1069</v>
      </c>
      <c r="C17" s="285"/>
      <c r="D17" s="687">
        <v>0.5</v>
      </c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V17" s="3"/>
    </row>
    <row r="18" spans="1:22" s="4" customFormat="1" ht="14.5">
      <c r="A18" s="5"/>
      <c r="B18" s="215" t="s">
        <v>1065</v>
      </c>
      <c r="C18" s="5"/>
      <c r="D18" s="194"/>
      <c r="E18" s="122"/>
      <c r="F18" s="195"/>
      <c r="G18" s="196"/>
      <c r="H18" s="5"/>
      <c r="I18" s="5"/>
      <c r="J18" s="197"/>
      <c r="K18" s="196"/>
      <c r="L18" s="196"/>
      <c r="M18" s="196"/>
      <c r="N18" s="196"/>
      <c r="O18" s="196"/>
      <c r="P18" s="196"/>
      <c r="Q18" s="5"/>
      <c r="R18" s="198"/>
      <c r="S18" s="199"/>
      <c r="V18" s="3"/>
    </row>
    <row r="19" spans="1:22" s="4" customFormat="1" ht="14.5">
      <c r="A19" s="5"/>
      <c r="B19" s="213" t="s">
        <v>1103</v>
      </c>
      <c r="C19" s="5"/>
      <c r="D19" s="194"/>
      <c r="E19" s="122"/>
      <c r="F19" s="195"/>
      <c r="G19" s="196"/>
      <c r="H19" s="5"/>
      <c r="I19" s="5"/>
      <c r="J19" s="197"/>
      <c r="K19" s="196"/>
      <c r="L19" s="196"/>
      <c r="M19" s="196"/>
      <c r="N19" s="196"/>
      <c r="O19" s="196"/>
      <c r="P19" s="196"/>
      <c r="Q19" s="5"/>
      <c r="R19" s="198"/>
      <c r="S19" s="199"/>
      <c r="V19" s="3"/>
    </row>
    <row r="20" spans="1:22" s="4" customFormat="1" ht="14.5">
      <c r="A20" s="5"/>
      <c r="B20" s="212" t="s">
        <v>158</v>
      </c>
      <c r="C20" s="5"/>
      <c r="D20" s="194"/>
      <c r="E20" s="122"/>
      <c r="F20" s="195"/>
      <c r="G20" s="196"/>
      <c r="H20" s="5"/>
      <c r="I20" s="5"/>
      <c r="J20" s="197"/>
      <c r="K20" s="196"/>
      <c r="L20" s="196"/>
      <c r="M20" s="196"/>
      <c r="N20" s="196"/>
      <c r="O20" s="196"/>
      <c r="P20" s="197"/>
      <c r="Q20" s="5"/>
      <c r="R20" s="198"/>
      <c r="S20" s="199"/>
      <c r="V20" s="3"/>
    </row>
    <row r="21" spans="1:22" s="4" customFormat="1" ht="14.5">
      <c r="A21" s="5"/>
      <c r="B21" s="214" t="s">
        <v>1066</v>
      </c>
      <c r="C21" s="5"/>
      <c r="D21" s="194"/>
      <c r="E21" s="122"/>
      <c r="F21" s="195"/>
      <c r="G21" s="196"/>
      <c r="H21" s="5"/>
      <c r="I21" s="5"/>
      <c r="J21" s="197"/>
      <c r="K21" s="196"/>
      <c r="L21" s="196"/>
      <c r="M21" s="196"/>
      <c r="N21" s="196"/>
      <c r="O21" s="196"/>
      <c r="P21" s="197"/>
      <c r="Q21" s="5"/>
      <c r="R21" s="198"/>
      <c r="S21" s="199"/>
      <c r="V21" s="3"/>
    </row>
    <row r="22" spans="1:22" s="4" customFormat="1" ht="14.5">
      <c r="A22" s="5"/>
      <c r="B22" s="214"/>
      <c r="C22" s="5"/>
      <c r="D22" s="194"/>
      <c r="E22" s="122"/>
      <c r="F22" s="195"/>
      <c r="G22" s="196"/>
      <c r="H22" s="5"/>
      <c r="I22" s="5"/>
      <c r="J22" s="197"/>
      <c r="K22" s="196"/>
      <c r="L22" s="196"/>
      <c r="M22" s="196"/>
      <c r="N22" s="196"/>
      <c r="O22" s="196"/>
      <c r="P22" s="197"/>
      <c r="Q22" s="5"/>
      <c r="R22" s="198"/>
      <c r="S22" s="199"/>
      <c r="V22" s="3"/>
    </row>
    <row r="23" spans="1:22" s="4" customFormat="1" ht="14.5">
      <c r="A23" s="5"/>
      <c r="B23" s="499"/>
      <c r="C23" s="5"/>
      <c r="D23" s="194"/>
      <c r="E23" s="122"/>
      <c r="F23" s="195"/>
      <c r="G23" s="196"/>
      <c r="H23" s="5"/>
      <c r="I23" s="5"/>
      <c r="J23" s="197"/>
      <c r="K23" s="196"/>
      <c r="L23" s="196"/>
      <c r="M23" s="196"/>
      <c r="N23" s="196"/>
      <c r="O23" s="196"/>
      <c r="P23" s="197"/>
      <c r="Q23" s="5"/>
      <c r="R23" s="198"/>
      <c r="S23" s="199"/>
      <c r="V23" s="3"/>
    </row>
    <row r="24" spans="1:22" s="4" customFormat="1" ht="14.5">
      <c r="A24" s="5"/>
      <c r="B24" s="276" t="s">
        <v>159</v>
      </c>
      <c r="C24" s="280"/>
      <c r="D24" s="194"/>
      <c r="E24" s="122"/>
      <c r="F24" s="195"/>
      <c r="G24" s="196"/>
      <c r="H24" s="5"/>
      <c r="I24" s="5"/>
      <c r="J24" s="197"/>
      <c r="K24" s="196"/>
      <c r="L24" s="196"/>
      <c r="M24" s="196"/>
      <c r="N24" s="196"/>
      <c r="O24" s="196"/>
      <c r="P24" s="197"/>
      <c r="Q24" s="521"/>
      <c r="R24" s="198"/>
      <c r="S24" s="199"/>
      <c r="V24" s="3"/>
    </row>
    <row r="25" spans="1:22" s="4" customFormat="1" ht="14.5">
      <c r="A25" s="5"/>
      <c r="B25" s="279" t="s">
        <v>160</v>
      </c>
      <c r="C25" s="281" t="s">
        <v>161</v>
      </c>
      <c r="D25" s="281" t="s">
        <v>70</v>
      </c>
      <c r="E25" s="287" t="s">
        <v>162</v>
      </c>
      <c r="F25" s="496"/>
      <c r="G25" s="497"/>
      <c r="H25" s="498"/>
      <c r="I25" s="497"/>
      <c r="J25" s="498"/>
      <c r="K25" s="497"/>
      <c r="L25" s="498"/>
      <c r="M25" s="497"/>
      <c r="N25" s="501" t="s">
        <v>163</v>
      </c>
      <c r="O25" s="196"/>
      <c r="P25" s="197"/>
      <c r="Q25" s="522"/>
      <c r="R25" s="198"/>
      <c r="S25" s="199"/>
      <c r="V25" s="3"/>
    </row>
    <row r="26" spans="1:22" s="4" customFormat="1" ht="14.5">
      <c r="A26" s="5"/>
      <c r="B26" s="681" t="s">
        <v>1055</v>
      </c>
      <c r="C26" s="690" t="s">
        <v>1057</v>
      </c>
      <c r="D26" s="691">
        <f>'Inputs and eligible population'!E50</f>
        <v>1</v>
      </c>
      <c r="E26" s="692" t="s">
        <v>1058</v>
      </c>
      <c r="F26" s="693"/>
      <c r="G26" s="694"/>
      <c r="H26" s="695"/>
      <c r="I26" s="695"/>
      <c r="J26" s="695"/>
      <c r="K26" s="695"/>
      <c r="L26" s="694"/>
      <c r="M26" s="696"/>
      <c r="N26" s="688">
        <v>137</v>
      </c>
      <c r="O26" s="196"/>
      <c r="P26" s="197"/>
      <c r="Q26" s="522"/>
      <c r="R26" s="198"/>
      <c r="S26" s="199"/>
      <c r="V26" s="3"/>
    </row>
    <row r="27" spans="1:22" s="4" customFormat="1" ht="14.5">
      <c r="A27" s="5"/>
      <c r="B27" s="681" t="s">
        <v>1056</v>
      </c>
      <c r="C27" s="690" t="s">
        <v>156</v>
      </c>
      <c r="D27" s="691">
        <v>1</v>
      </c>
      <c r="E27" s="692" t="s">
        <v>1093</v>
      </c>
      <c r="F27" s="693"/>
      <c r="G27" s="694"/>
      <c r="H27" s="695"/>
      <c r="I27" s="695"/>
      <c r="J27" s="695"/>
      <c r="K27" s="695"/>
      <c r="L27" s="694"/>
      <c r="M27" s="696"/>
      <c r="N27" s="688">
        <v>50</v>
      </c>
      <c r="O27" s="196"/>
      <c r="P27" s="197"/>
      <c r="Q27" s="522"/>
      <c r="R27" s="198"/>
      <c r="S27" s="199"/>
      <c r="V27" s="3"/>
    </row>
    <row r="28" spans="1:22" s="4" customFormat="1" ht="14.5">
      <c r="A28" s="5"/>
      <c r="B28" s="215" t="s">
        <v>1085</v>
      </c>
      <c r="C28" s="194"/>
      <c r="D28" s="194"/>
      <c r="E28" s="122"/>
      <c r="F28" s="195"/>
      <c r="G28" s="196"/>
      <c r="H28" s="5"/>
      <c r="I28" s="5"/>
      <c r="J28" s="197"/>
      <c r="K28" s="196"/>
      <c r="L28" s="196"/>
      <c r="M28" s="196"/>
      <c r="N28" s="196"/>
      <c r="O28" s="196"/>
      <c r="P28" s="197"/>
      <c r="Q28" s="522"/>
      <c r="R28" s="198"/>
      <c r="S28" s="199"/>
      <c r="V28" s="3"/>
    </row>
    <row r="29" spans="1:22" s="4" customFormat="1" ht="14.5">
      <c r="A29" s="5"/>
      <c r="B29" s="212" t="s">
        <v>158</v>
      </c>
      <c r="C29" s="194"/>
      <c r="D29" s="194"/>
      <c r="E29" s="122"/>
      <c r="F29" s="195"/>
      <c r="G29" s="196"/>
      <c r="H29" s="5"/>
      <c r="I29" s="5"/>
      <c r="J29" s="197"/>
      <c r="K29" s="196"/>
      <c r="L29" s="196"/>
      <c r="M29" s="196"/>
      <c r="N29" s="196"/>
      <c r="O29" s="196"/>
      <c r="P29" s="197"/>
      <c r="Q29" s="523" t="s">
        <v>164</v>
      </c>
      <c r="R29" s="198"/>
      <c r="S29" s="199"/>
      <c r="V29" s="3"/>
    </row>
    <row r="30" spans="1:22" s="4" customFormat="1" ht="14.5">
      <c r="A30" s="5"/>
      <c r="B30" s="194"/>
      <c r="C30" s="194"/>
      <c r="D30" s="194"/>
      <c r="E30" s="122"/>
      <c r="F30" s="195"/>
      <c r="G30" s="196"/>
      <c r="H30" s="5"/>
      <c r="I30" s="5"/>
      <c r="J30" s="197"/>
      <c r="K30" s="196"/>
      <c r="L30" s="196"/>
      <c r="M30" s="196"/>
      <c r="N30" s="196"/>
      <c r="O30" s="196"/>
      <c r="P30" s="197"/>
      <c r="Q30" s="523" t="s">
        <v>165</v>
      </c>
      <c r="R30" s="198"/>
      <c r="S30" s="199"/>
      <c r="V30" s="3"/>
    </row>
    <row r="31" spans="1:22" s="4" customFormat="1" ht="14.5">
      <c r="A31" s="5"/>
      <c r="B31" s="194"/>
      <c r="C31" s="194"/>
      <c r="D31" s="194"/>
      <c r="E31" s="122"/>
      <c r="F31" s="195"/>
      <c r="G31" s="196"/>
      <c r="H31" s="5"/>
      <c r="I31" s="5"/>
      <c r="J31" s="197"/>
      <c r="K31" s="196"/>
      <c r="L31" s="196"/>
      <c r="M31" s="196"/>
      <c r="N31" s="196"/>
      <c r="O31" s="196"/>
      <c r="P31" s="197"/>
      <c r="Q31" s="523" t="s">
        <v>166</v>
      </c>
      <c r="R31" s="198"/>
      <c r="S31" s="199"/>
      <c r="V31" s="3"/>
    </row>
    <row r="32" spans="1:22" s="4" customFormat="1" ht="14.5">
      <c r="A32" s="5"/>
      <c r="B32" s="500" t="s">
        <v>114</v>
      </c>
      <c r="C32" s="194"/>
      <c r="D32" s="194"/>
      <c r="E32" s="122"/>
      <c r="F32" s="195"/>
      <c r="G32" s="196"/>
      <c r="H32" s="5"/>
      <c r="I32" s="5"/>
      <c r="J32" s="197"/>
      <c r="K32" s="196"/>
      <c r="L32" s="196"/>
      <c r="M32" s="196"/>
      <c r="N32" s="196"/>
      <c r="O32" s="196"/>
      <c r="P32" s="197"/>
      <c r="Q32" s="523" t="s">
        <v>167</v>
      </c>
      <c r="R32" s="198"/>
      <c r="S32" s="199"/>
      <c r="V32" s="3"/>
    </row>
    <row r="33" spans="1:22" s="4" customFormat="1" ht="14.5">
      <c r="A33" s="5"/>
      <c r="B33" s="279" t="s">
        <v>160</v>
      </c>
      <c r="C33" s="281" t="s">
        <v>161</v>
      </c>
      <c r="D33" s="287" t="s">
        <v>162</v>
      </c>
      <c r="E33" s="495"/>
      <c r="F33" s="496"/>
      <c r="G33" s="497"/>
      <c r="H33" s="498"/>
      <c r="I33" s="497"/>
      <c r="J33" s="498"/>
      <c r="K33" s="497"/>
      <c r="L33" s="498"/>
      <c r="M33" s="497"/>
      <c r="N33" s="501" t="s">
        <v>163</v>
      </c>
      <c r="O33" s="196"/>
      <c r="P33" s="197"/>
      <c r="Q33" s="523" t="s">
        <v>168</v>
      </c>
      <c r="R33" s="198"/>
      <c r="S33" s="199"/>
      <c r="V33" s="3"/>
    </row>
    <row r="34" spans="1:22" s="4" customFormat="1" ht="14.5">
      <c r="A34" s="5"/>
      <c r="B34" s="219" t="s">
        <v>169</v>
      </c>
      <c r="C34" s="697" t="s">
        <v>170</v>
      </c>
      <c r="D34" s="692" t="s">
        <v>171</v>
      </c>
      <c r="E34" s="698"/>
      <c r="F34" s="693"/>
      <c r="G34" s="694"/>
      <c r="H34" s="695"/>
      <c r="I34" s="695"/>
      <c r="J34" s="695"/>
      <c r="K34" s="695"/>
      <c r="L34" s="694"/>
      <c r="M34" s="696"/>
      <c r="N34" s="688">
        <v>144</v>
      </c>
      <c r="O34" s="196"/>
      <c r="P34" s="197"/>
      <c r="Q34" s="523" t="s">
        <v>172</v>
      </c>
      <c r="R34" s="198"/>
      <c r="S34" s="199"/>
      <c r="V34" s="3"/>
    </row>
    <row r="35" spans="1:22" s="4" customFormat="1" ht="14.5">
      <c r="A35" s="5"/>
      <c r="B35" s="215" t="s">
        <v>1085</v>
      </c>
      <c r="C35" s="5"/>
      <c r="D35" s="194"/>
      <c r="E35" s="122"/>
      <c r="F35" s="195"/>
      <c r="G35" s="196"/>
      <c r="H35" s="5"/>
      <c r="I35" s="5"/>
      <c r="J35" s="197"/>
      <c r="K35" s="196"/>
      <c r="L35" s="196"/>
      <c r="M35" s="196"/>
      <c r="N35" s="196"/>
      <c r="O35" s="196"/>
      <c r="P35" s="197"/>
      <c r="Q35" s="523" t="s">
        <v>173</v>
      </c>
      <c r="R35" s="198"/>
      <c r="S35" s="199"/>
      <c r="V35" s="3"/>
    </row>
    <row r="36" spans="1:22" s="4" customFormat="1" ht="14.5">
      <c r="A36" s="5"/>
      <c r="B36" s="212" t="s">
        <v>158</v>
      </c>
      <c r="C36" s="5"/>
      <c r="D36" s="194"/>
      <c r="E36" s="122"/>
      <c r="F36" s="195"/>
      <c r="G36" s="196"/>
      <c r="H36" s="5"/>
      <c r="I36" s="5"/>
      <c r="J36" s="197"/>
      <c r="K36" s="196"/>
      <c r="L36" s="196"/>
      <c r="M36" s="196"/>
      <c r="N36" s="196"/>
      <c r="O36" s="196"/>
      <c r="P36" s="197"/>
      <c r="Q36" s="523" t="s">
        <v>174</v>
      </c>
      <c r="R36" s="198"/>
      <c r="S36" s="199"/>
      <c r="V36" s="3"/>
    </row>
    <row r="37" spans="1:22" s="4" customFormat="1" ht="14.5">
      <c r="A37" s="5"/>
      <c r="B37" s="212"/>
      <c r="C37" s="5"/>
      <c r="D37" s="194"/>
      <c r="E37" s="122"/>
      <c r="F37" s="195"/>
      <c r="G37" s="196"/>
      <c r="H37" s="5"/>
      <c r="I37" s="5"/>
      <c r="J37" s="197"/>
      <c r="K37" s="196"/>
      <c r="L37" s="196"/>
      <c r="M37" s="196"/>
      <c r="N37" s="196"/>
      <c r="O37" s="196"/>
      <c r="P37" s="197"/>
      <c r="Q37" s="523" t="s">
        <v>175</v>
      </c>
      <c r="R37" s="198"/>
      <c r="S37" s="199"/>
      <c r="V37" s="3"/>
    </row>
    <row r="38" spans="1:22" s="4" customFormat="1" ht="14.5">
      <c r="A38" s="5"/>
      <c r="B38" s="212"/>
      <c r="C38" s="5"/>
      <c r="D38" s="194"/>
      <c r="E38" s="122"/>
      <c r="F38" s="195"/>
      <c r="G38" s="196"/>
      <c r="H38" s="5"/>
      <c r="I38" s="5"/>
      <c r="J38" s="197"/>
      <c r="K38" s="196"/>
      <c r="L38" s="196"/>
      <c r="M38" s="196"/>
      <c r="N38" s="196"/>
      <c r="O38" s="196"/>
      <c r="P38" s="197"/>
      <c r="Q38" s="523" t="s">
        <v>176</v>
      </c>
      <c r="R38" s="198"/>
      <c r="S38" s="199"/>
      <c r="V38" s="3"/>
    </row>
    <row r="39" spans="1:22" s="4" customFormat="1" ht="14.5">
      <c r="A39" s="5"/>
      <c r="B39" s="500" t="s">
        <v>1051</v>
      </c>
      <c r="C39" s="194"/>
      <c r="D39" s="194"/>
      <c r="E39" s="122"/>
      <c r="F39" s="195"/>
      <c r="G39" s="196"/>
      <c r="H39" s="5"/>
      <c r="I39" s="5"/>
      <c r="J39" s="197"/>
      <c r="K39" s="196"/>
      <c r="L39" s="196"/>
      <c r="M39" s="196"/>
      <c r="N39" s="196"/>
      <c r="O39" s="196"/>
      <c r="P39" s="197"/>
      <c r="Q39" s="523" t="s">
        <v>177</v>
      </c>
      <c r="R39" s="198"/>
      <c r="S39" s="199"/>
      <c r="V39" s="3"/>
    </row>
    <row r="40" spans="1:22" s="4" customFormat="1" ht="14.5">
      <c r="A40" s="5"/>
      <c r="B40" s="279" t="s">
        <v>160</v>
      </c>
      <c r="C40" s="281" t="s">
        <v>161</v>
      </c>
      <c r="D40" s="287" t="s">
        <v>162</v>
      </c>
      <c r="E40" s="495"/>
      <c r="F40" s="496"/>
      <c r="G40" s="497"/>
      <c r="H40" s="498"/>
      <c r="I40" s="497"/>
      <c r="J40" s="498"/>
      <c r="K40" s="497"/>
      <c r="L40" s="498"/>
      <c r="M40" s="497"/>
      <c r="N40" s="501" t="s">
        <v>163</v>
      </c>
      <c r="O40" s="196"/>
      <c r="P40" s="197"/>
      <c r="Q40" s="523" t="s">
        <v>178</v>
      </c>
      <c r="R40" s="198"/>
      <c r="S40" s="199"/>
      <c r="V40" s="3"/>
    </row>
    <row r="41" spans="1:22" s="4" customFormat="1" ht="14.5">
      <c r="A41" s="5"/>
      <c r="B41" s="284" t="s">
        <v>169</v>
      </c>
      <c r="C41" s="671" t="s">
        <v>1059</v>
      </c>
      <c r="D41" s="671" t="s">
        <v>1060</v>
      </c>
      <c r="E41" s="698"/>
      <c r="F41" s="693"/>
      <c r="G41" s="694"/>
      <c r="H41" s="695"/>
      <c r="I41" s="695"/>
      <c r="J41" s="695"/>
      <c r="K41" s="695"/>
      <c r="L41" s="694"/>
      <c r="M41" s="696"/>
      <c r="N41" s="699">
        <v>2.39</v>
      </c>
      <c r="O41" s="196"/>
      <c r="P41" s="197"/>
      <c r="Q41" s="523" t="s">
        <v>179</v>
      </c>
      <c r="R41" s="198"/>
      <c r="S41" s="199"/>
      <c r="V41" s="3"/>
    </row>
    <row r="42" spans="1:22" s="4" customFormat="1" ht="14.5">
      <c r="A42" s="5"/>
      <c r="B42" s="215" t="s">
        <v>1062</v>
      </c>
      <c r="C42" s="5"/>
      <c r="D42" s="194"/>
      <c r="E42" s="122"/>
      <c r="F42" s="195"/>
      <c r="G42" s="196"/>
      <c r="H42" s="5"/>
      <c r="I42" s="5"/>
      <c r="J42" s="197"/>
      <c r="K42" s="196"/>
      <c r="L42" s="196"/>
      <c r="M42" s="196"/>
      <c r="N42" s="196"/>
      <c r="O42" s="196"/>
      <c r="P42" s="197"/>
      <c r="Q42" s="523" t="s">
        <v>180</v>
      </c>
      <c r="R42" s="198"/>
      <c r="S42" s="199"/>
      <c r="V42" s="3"/>
    </row>
    <row r="43" spans="1:22" s="4" customFormat="1" ht="14.5">
      <c r="A43" s="5"/>
      <c r="B43" s="212"/>
      <c r="C43" s="5"/>
      <c r="D43" s="194"/>
      <c r="E43" s="122"/>
      <c r="F43" s="195"/>
      <c r="G43" s="196"/>
      <c r="H43" s="5"/>
      <c r="I43" s="5"/>
      <c r="J43" s="197"/>
      <c r="K43" s="196"/>
      <c r="L43" s="196"/>
      <c r="M43" s="196"/>
      <c r="N43" s="196"/>
      <c r="O43" s="196"/>
      <c r="P43" s="197"/>
      <c r="Q43" s="523" t="s">
        <v>181</v>
      </c>
      <c r="R43" s="198"/>
      <c r="S43" s="199"/>
      <c r="V43" s="3"/>
    </row>
    <row r="44" spans="1:22" s="4" customFormat="1" ht="14.5">
      <c r="A44" s="5"/>
      <c r="B44" s="214"/>
      <c r="C44" s="5"/>
      <c r="D44" s="194"/>
      <c r="E44" s="122"/>
      <c r="F44" s="195"/>
      <c r="G44" s="196"/>
      <c r="H44" s="5"/>
      <c r="I44" s="5"/>
      <c r="J44" s="197"/>
      <c r="K44" s="196"/>
      <c r="L44" s="196"/>
      <c r="M44" s="196"/>
      <c r="N44" s="196"/>
      <c r="O44" s="196"/>
      <c r="P44" s="197"/>
      <c r="Q44" s="523" t="s">
        <v>168</v>
      </c>
      <c r="R44" s="198"/>
      <c r="S44" s="199"/>
      <c r="V44" s="3"/>
    </row>
    <row r="45" spans="1:22" s="4" customFormat="1" ht="14.5">
      <c r="A45" s="5"/>
      <c r="B45" s="276" t="s">
        <v>184</v>
      </c>
      <c r="C45" s="5"/>
      <c r="D45" s="5"/>
      <c r="E45" s="5"/>
      <c r="F45" s="287" t="s">
        <v>1082</v>
      </c>
      <c r="G45" s="502"/>
      <c r="H45" s="5"/>
      <c r="I45" s="287" t="s">
        <v>1083</v>
      </c>
      <c r="J45" s="502"/>
      <c r="K45" s="196"/>
      <c r="L45" s="196"/>
      <c r="M45" s="196"/>
      <c r="N45" s="196"/>
      <c r="O45" s="196"/>
      <c r="P45" s="197"/>
      <c r="Q45" s="523" t="s">
        <v>182</v>
      </c>
      <c r="R45" s="198"/>
      <c r="S45" s="199"/>
      <c r="V45" s="3"/>
    </row>
    <row r="46" spans="1:22" s="4" customFormat="1" ht="58">
      <c r="A46" s="5"/>
      <c r="B46" s="282" t="s">
        <v>187</v>
      </c>
      <c r="C46" s="282" t="s">
        <v>1061</v>
      </c>
      <c r="D46" s="5"/>
      <c r="E46" s="653"/>
      <c r="F46" s="282" t="s">
        <v>188</v>
      </c>
      <c r="G46" s="282" t="s">
        <v>1061</v>
      </c>
      <c r="H46" s="640"/>
      <c r="I46" s="282" t="s">
        <v>189</v>
      </c>
      <c r="J46" s="282" t="s">
        <v>1061</v>
      </c>
      <c r="K46" s="196"/>
      <c r="L46" s="196"/>
      <c r="M46" s="196"/>
      <c r="N46" s="196"/>
      <c r="O46" s="5"/>
      <c r="P46" s="5"/>
      <c r="Q46" s="645" t="s">
        <v>183</v>
      </c>
      <c r="R46" s="198"/>
      <c r="S46" s="199"/>
      <c r="V46" s="3"/>
    </row>
    <row r="47" spans="1:22" s="4" customFormat="1" ht="14.5">
      <c r="A47" s="5"/>
      <c r="B47" s="219" t="s">
        <v>190</v>
      </c>
      <c r="C47" s="700">
        <v>0.40200000000000002</v>
      </c>
      <c r="D47" s="5"/>
      <c r="E47" s="654"/>
      <c r="F47" s="701">
        <v>435</v>
      </c>
      <c r="G47" s="688">
        <f>C47*$F47</f>
        <v>174.87</v>
      </c>
      <c r="H47" s="642"/>
      <c r="I47" s="701">
        <f>F47*80%</f>
        <v>348</v>
      </c>
      <c r="J47" s="688">
        <f>C47*$I47</f>
        <v>139.89600000000002</v>
      </c>
      <c r="K47" s="196"/>
      <c r="L47" s="196"/>
      <c r="M47" s="196"/>
      <c r="N47" s="196"/>
      <c r="O47" s="640"/>
      <c r="P47" s="5"/>
      <c r="Q47" s="522"/>
      <c r="R47" s="5"/>
      <c r="S47" s="5"/>
      <c r="V47" s="3"/>
    </row>
    <row r="48" spans="1:22" s="4" customFormat="1" ht="14.5">
      <c r="A48" s="5"/>
      <c r="B48" s="219" t="s">
        <v>1064</v>
      </c>
      <c r="C48" s="700">
        <v>0.189</v>
      </c>
      <c r="D48" s="5"/>
      <c r="E48" s="654"/>
      <c r="F48" s="701">
        <v>93</v>
      </c>
      <c r="G48" s="688">
        <f>C48*$F48</f>
        <v>17.577000000000002</v>
      </c>
      <c r="H48" s="642"/>
      <c r="I48" s="701">
        <f t="shared" ref="I48:I49" si="0">F48*80%</f>
        <v>74.400000000000006</v>
      </c>
      <c r="J48" s="688">
        <f>C48*$I48</f>
        <v>14.0616</v>
      </c>
      <c r="K48" s="196"/>
      <c r="L48" s="196"/>
      <c r="M48" s="196"/>
      <c r="N48" s="196"/>
      <c r="O48" s="642"/>
      <c r="P48" s="5"/>
      <c r="Q48" s="522"/>
      <c r="R48" s="5"/>
      <c r="S48" s="5"/>
      <c r="V48" s="3"/>
    </row>
    <row r="49" spans="1:22" s="4" customFormat="1" ht="14.5">
      <c r="A49" s="5"/>
      <c r="B49" s="219" t="s">
        <v>191</v>
      </c>
      <c r="C49" s="700">
        <v>0.08</v>
      </c>
      <c r="D49" s="5"/>
      <c r="E49" s="654"/>
      <c r="F49" s="701">
        <v>385</v>
      </c>
      <c r="G49" s="688">
        <f>C49*$F49</f>
        <v>30.8</v>
      </c>
      <c r="H49" s="642"/>
      <c r="I49" s="701">
        <f t="shared" si="0"/>
        <v>308</v>
      </c>
      <c r="J49" s="688">
        <f>C49*$I49</f>
        <v>24.64</v>
      </c>
      <c r="K49" s="196"/>
      <c r="L49" s="196"/>
      <c r="M49" s="196"/>
      <c r="N49" s="196"/>
      <c r="O49" s="642"/>
      <c r="P49" s="5"/>
      <c r="Q49" s="524"/>
      <c r="R49" s="5"/>
      <c r="S49" s="5"/>
      <c r="V49" s="3"/>
    </row>
    <row r="50" spans="1:22" s="4" customFormat="1" ht="14.5">
      <c r="A50" s="5"/>
      <c r="B50" s="5"/>
      <c r="C50" s="401">
        <f>SUM(C47:C49)</f>
        <v>0.67099999999999993</v>
      </c>
      <c r="D50" s="5"/>
      <c r="E50" s="652"/>
      <c r="F50" s="503"/>
      <c r="G50" s="646">
        <f>SUM(G47:G49)</f>
        <v>223.24700000000001</v>
      </c>
      <c r="H50" s="641"/>
      <c r="I50" s="5"/>
      <c r="J50" s="646">
        <f>SUM(J47:J49)</f>
        <v>178.5976</v>
      </c>
      <c r="K50" s="196"/>
      <c r="L50" s="196"/>
      <c r="M50" s="196"/>
      <c r="N50" s="196"/>
      <c r="O50" s="642"/>
      <c r="P50" s="5"/>
      <c r="Q50" s="5"/>
      <c r="R50" s="5"/>
      <c r="S50" s="5"/>
      <c r="V50" s="3"/>
    </row>
    <row r="51" spans="1:22" s="4" customFormat="1" ht="14.5">
      <c r="A51" s="5"/>
      <c r="B51" s="213" t="s">
        <v>1063</v>
      </c>
      <c r="C51" s="5"/>
      <c r="D51" s="5"/>
      <c r="E51" s="5"/>
      <c r="F51" s="5"/>
      <c r="G51" s="5"/>
      <c r="H51" s="5"/>
      <c r="I51" s="5"/>
      <c r="J51" s="5"/>
      <c r="K51" s="196"/>
      <c r="L51" s="5"/>
      <c r="M51" s="5"/>
      <c r="N51" s="5"/>
      <c r="O51" s="641"/>
      <c r="P51" s="5"/>
      <c r="Q51" s="5"/>
      <c r="R51" s="5"/>
      <c r="S51" s="5"/>
      <c r="V51" s="3"/>
    </row>
    <row r="52" spans="1:22" s="4" customFormat="1" ht="14.5">
      <c r="A52" s="5"/>
      <c r="B52" t="s">
        <v>192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V52" s="3"/>
    </row>
    <row r="53" spans="1:22" s="4" customFormat="1" ht="14.5">
      <c r="A53" s="5"/>
      <c r="B53" t="s">
        <v>1086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V53" s="3"/>
    </row>
    <row r="54" spans="1:22" s="4" customFormat="1" ht="14.5">
      <c r="A54" s="5"/>
      <c r="B54" s="655" t="s">
        <v>1132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V54" s="3"/>
    </row>
    <row r="55" spans="1:22" ht="14.5">
      <c r="A55" s="211"/>
      <c r="B55" s="655" t="s">
        <v>1106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</row>
    <row r="56" spans="1:22" ht="14.5">
      <c r="A56" s="211"/>
      <c r="B56" s="280" t="s">
        <v>1107</v>
      </c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</row>
    <row r="57" spans="1:22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</row>
  </sheetData>
  <sheetProtection algorithmName="SHA-512" hashValue="JNk/5P+uqB0vmM46U1u4yoW3Wbfzt49QPGLxGhYzq4j35gEsE/TE5v3+WS3UaizWWctcymadkCYnDk87avvDWw==" saltValue="MVVgYRS7NwBNmFlNQV3uSA==" spinCount="100000" sheet="1" objects="1" scenarios="1"/>
  <protectedRanges>
    <protectedRange sqref="B47:C49 F47:F49 I47:I49" name="Range1"/>
  </protectedRanges>
  <hyperlinks>
    <hyperlink ref="B20" r:id="rId1" location="National-Tariff-Payment-System" xr:uid="{07A42822-B2C2-47CD-8645-06CEF4ED32D8}"/>
    <hyperlink ref="B29" r:id="rId2" location="National-Tariff-Payment-System" xr:uid="{AEB6C181-2291-4A2E-A267-B1BC1F2C67A7}"/>
    <hyperlink ref="B36" r:id="rId3" location="National-Tariff-Payment-System" xr:uid="{DC2E9A33-FD39-42FA-9488-DA82B1643DC0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ignoredErrors>
    <ignoredError sqref="G9:H12 M10:R11 R13 D26 M9 O9:R9 M12 O12:R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7"/>
  <sheetViews>
    <sheetView showGridLines="0" zoomScale="80" zoomScaleNormal="80" zoomScaleSheetLayoutView="80" workbookViewId="0">
      <selection activeCell="B27" sqref="B27"/>
    </sheetView>
  </sheetViews>
  <sheetFormatPr defaultColWidth="8.81640625" defaultRowHeight="14.5"/>
  <cols>
    <col min="1" max="1" width="3.54296875" customWidth="1"/>
    <col min="2" max="2" width="53.81640625" style="1" customWidth="1"/>
    <col min="3" max="3" width="11.7265625" style="1" customWidth="1"/>
    <col min="4" max="4" width="11.54296875" customWidth="1"/>
    <col min="5" max="8" width="11.7265625" customWidth="1"/>
    <col min="9" max="9" width="44.453125" customWidth="1"/>
    <col min="10" max="10" width="11.7265625" customWidth="1"/>
    <col min="11" max="11" width="1.26953125" customWidth="1"/>
  </cols>
  <sheetData>
    <row r="1" spans="2:10" ht="30" customHeight="1">
      <c r="B1" s="680" t="str">
        <f>'Unit costs'!B1</f>
        <v>Talazoparib for treating HER2-negative advanced breast cancer with germline BRCA mutations</v>
      </c>
      <c r="C1" s="160"/>
      <c r="D1" s="157"/>
      <c r="E1" s="157"/>
      <c r="F1" s="157"/>
      <c r="G1" s="157"/>
      <c r="H1" s="157"/>
      <c r="I1" s="157"/>
      <c r="J1" s="157"/>
    </row>
    <row r="2" spans="2:10">
      <c r="B2" s="157"/>
      <c r="C2" s="157"/>
      <c r="D2" s="157"/>
      <c r="E2" s="157"/>
      <c r="F2" s="157"/>
      <c r="G2" s="157"/>
      <c r="H2" s="157"/>
      <c r="I2" s="157"/>
      <c r="J2" s="157"/>
    </row>
    <row r="3" spans="2:10" ht="30" customHeight="1">
      <c r="B3" s="426" t="s">
        <v>17</v>
      </c>
      <c r="C3" s="157"/>
      <c r="E3" s="140" t="s">
        <v>135</v>
      </c>
      <c r="F3" s="140" t="s">
        <v>135</v>
      </c>
      <c r="G3" s="140" t="s">
        <v>135</v>
      </c>
      <c r="H3" s="140" t="s">
        <v>135</v>
      </c>
      <c r="I3" s="140" t="s">
        <v>135</v>
      </c>
      <c r="J3" s="157"/>
    </row>
    <row r="4" spans="2:10">
      <c r="B4" s="143" t="s">
        <v>135</v>
      </c>
      <c r="C4" s="143"/>
      <c r="D4" s="146" t="s">
        <v>135</v>
      </c>
      <c r="E4" s="146" t="s">
        <v>135</v>
      </c>
      <c r="F4" s="146" t="s">
        <v>135</v>
      </c>
      <c r="G4" s="146" t="s">
        <v>135</v>
      </c>
      <c r="H4" s="146" t="s">
        <v>135</v>
      </c>
      <c r="I4" s="146" t="s">
        <v>135</v>
      </c>
      <c r="J4" s="157"/>
    </row>
    <row r="5" spans="2:10">
      <c r="B5" t="s">
        <v>1087</v>
      </c>
      <c r="C5"/>
      <c r="J5" s="157"/>
    </row>
    <row r="6" spans="2:10">
      <c r="B6" t="s">
        <v>1088</v>
      </c>
      <c r="C6"/>
      <c r="J6" s="157"/>
    </row>
    <row r="7" spans="2:10">
      <c r="B7" t="s">
        <v>1089</v>
      </c>
      <c r="C7"/>
      <c r="J7" s="157"/>
    </row>
    <row r="8" spans="2:10">
      <c r="B8" s="280"/>
      <c r="C8" s="280"/>
      <c r="G8" s="146"/>
      <c r="H8" s="146"/>
      <c r="I8" s="146" t="s">
        <v>193</v>
      </c>
      <c r="J8" s="157"/>
    </row>
    <row r="9" spans="2:10" ht="29">
      <c r="B9" s="294" t="s">
        <v>194</v>
      </c>
      <c r="C9" s="270" t="s">
        <v>195</v>
      </c>
      <c r="D9" s="181" t="s">
        <v>84</v>
      </c>
      <c r="E9" s="181" t="s">
        <v>85</v>
      </c>
      <c r="F9" s="181" t="s">
        <v>86</v>
      </c>
      <c r="G9" s="181" t="s">
        <v>87</v>
      </c>
      <c r="H9" s="181" t="s">
        <v>88</v>
      </c>
      <c r="J9" s="157"/>
    </row>
    <row r="10" spans="2:10" s="164" customFormat="1">
      <c r="B10" s="183" t="s">
        <v>196</v>
      </c>
      <c r="C10" s="141">
        <f>'Inputs and eligible population'!F44</f>
        <v>302.11060687500003</v>
      </c>
      <c r="D10" s="141">
        <f>'Inputs and eligible population'!G44</f>
        <v>304.52669536570187</v>
      </c>
      <c r="E10" s="141">
        <f>'Inputs and eligible population'!H44</f>
        <v>306.96210619551414</v>
      </c>
      <c r="F10" s="141">
        <f>'Inputs and eligible population'!I44</f>
        <v>309.416993892216</v>
      </c>
      <c r="G10" s="141">
        <f>'Inputs and eligible population'!J44</f>
        <v>311.89151421940147</v>
      </c>
      <c r="H10" s="141">
        <f>'Inputs and eligible population'!K44</f>
        <v>314.38582418636281</v>
      </c>
      <c r="I10"/>
      <c r="J10" s="157"/>
    </row>
    <row r="11" spans="2:10">
      <c r="B11" s="296" t="s">
        <v>1070</v>
      </c>
      <c r="C11" s="617">
        <f>'Inputs and eligible population'!E60</f>
        <v>0</v>
      </c>
      <c r="D11" s="617">
        <f>'Inputs and eligible population'!F60</f>
        <v>0.75</v>
      </c>
      <c r="E11" s="617">
        <f>'Inputs and eligible population'!G60</f>
        <v>0.95</v>
      </c>
      <c r="F11" s="617">
        <f>'Inputs and eligible population'!H60</f>
        <v>0.95</v>
      </c>
      <c r="G11" s="617">
        <f>'Inputs and eligible population'!I60</f>
        <v>0.95</v>
      </c>
      <c r="H11" s="617">
        <f>'Inputs and eligible population'!J60</f>
        <v>0.95</v>
      </c>
      <c r="J11" s="157"/>
    </row>
    <row r="12" spans="2:10">
      <c r="B12" s="296" t="s">
        <v>1071</v>
      </c>
      <c r="C12" s="200">
        <f>'Financial impact (cash)'!D15</f>
        <v>0</v>
      </c>
      <c r="D12" s="200">
        <f>'Financial impact (cash)'!E15</f>
        <v>228.39502152427639</v>
      </c>
      <c r="E12" s="200">
        <f>'Financial impact (cash)'!F15</f>
        <v>291.61400088573839</v>
      </c>
      <c r="F12" s="200">
        <f>'Financial impact (cash)'!G15</f>
        <v>293.94614419760518</v>
      </c>
      <c r="G12" s="200">
        <f>'Financial impact (cash)'!H15</f>
        <v>296.29693850843137</v>
      </c>
      <c r="H12" s="200">
        <f>'Financial impact (cash)'!I15</f>
        <v>298.66653297704465</v>
      </c>
      <c r="J12" s="146"/>
    </row>
    <row r="13" spans="2:10" ht="14.5" customHeight="1">
      <c r="B13" s="277"/>
      <c r="C13" s="277"/>
      <c r="D13" s="146"/>
      <c r="E13" s="146"/>
      <c r="F13" s="146"/>
      <c r="G13" s="146"/>
      <c r="H13" s="146"/>
      <c r="J13" s="146"/>
    </row>
    <row r="14" spans="2:10" ht="29">
      <c r="B14" s="301" t="s">
        <v>1032</v>
      </c>
      <c r="C14" s="270" t="s">
        <v>195</v>
      </c>
      <c r="D14" s="181" t="s">
        <v>84</v>
      </c>
      <c r="E14" s="181" t="s">
        <v>85</v>
      </c>
      <c r="F14" s="181" t="s">
        <v>86</v>
      </c>
      <c r="G14" s="181" t="s">
        <v>87</v>
      </c>
      <c r="H14" s="181" t="s">
        <v>88</v>
      </c>
      <c r="J14" s="146"/>
    </row>
    <row r="15" spans="2:10">
      <c r="B15" s="391" t="s">
        <v>1072</v>
      </c>
      <c r="C15" s="141">
        <f>C12*'Unit costs'!$D$16</f>
        <v>0</v>
      </c>
      <c r="D15" s="141">
        <f>D12*'Unit costs'!$D$16</f>
        <v>114.19751076213819</v>
      </c>
      <c r="E15" s="141">
        <f>E12*'Unit costs'!$D$16</f>
        <v>145.8070004428692</v>
      </c>
      <c r="F15" s="141">
        <f>F12*'Unit costs'!$D$16</f>
        <v>146.97307209880259</v>
      </c>
      <c r="G15" s="141">
        <f>G12*'Unit costs'!$D$16</f>
        <v>148.14846925421568</v>
      </c>
      <c r="H15" s="141">
        <f>H12*'Unit costs'!$D$16</f>
        <v>149.33326648852233</v>
      </c>
      <c r="J15" s="146"/>
    </row>
    <row r="16" spans="2:10">
      <c r="B16" s="391" t="s">
        <v>1073</v>
      </c>
      <c r="C16" s="141">
        <f>C12*'Unit costs'!$D$17</f>
        <v>0</v>
      </c>
      <c r="D16" s="141">
        <f>D12*'Unit costs'!$D$17</f>
        <v>114.19751076213819</v>
      </c>
      <c r="E16" s="141">
        <f>E12*'Unit costs'!$D$17</f>
        <v>145.8070004428692</v>
      </c>
      <c r="F16" s="141">
        <f>F12*'Unit costs'!$D$17</f>
        <v>146.97307209880259</v>
      </c>
      <c r="G16" s="141">
        <f>G12*'Unit costs'!$D$17</f>
        <v>148.14846925421568</v>
      </c>
      <c r="H16" s="141">
        <f>H12*'Unit costs'!$D$17</f>
        <v>149.33326648852233</v>
      </c>
      <c r="J16" s="146"/>
    </row>
    <row r="17" spans="1:10">
      <c r="B17" s="302"/>
      <c r="C17" s="200">
        <f t="shared" ref="C17:H17" si="0">SUM(C15:C16)</f>
        <v>0</v>
      </c>
      <c r="D17" s="200">
        <f t="shared" si="0"/>
        <v>228.39502152427639</v>
      </c>
      <c r="E17" s="200">
        <f t="shared" si="0"/>
        <v>291.61400088573839</v>
      </c>
      <c r="F17" s="200">
        <f t="shared" si="0"/>
        <v>293.94614419760518</v>
      </c>
      <c r="G17" s="200">
        <f t="shared" si="0"/>
        <v>296.29693850843137</v>
      </c>
      <c r="H17" s="200">
        <f t="shared" si="0"/>
        <v>298.66653297704465</v>
      </c>
      <c r="J17" s="146"/>
    </row>
    <row r="18" spans="1:10" ht="15" thickBot="1">
      <c r="B18" s="587"/>
      <c r="C18" s="587"/>
      <c r="D18" s="588"/>
      <c r="E18" s="588"/>
      <c r="F18" s="588"/>
      <c r="G18" s="588"/>
      <c r="H18" s="588"/>
      <c r="I18" s="589"/>
      <c r="J18" s="146"/>
    </row>
    <row r="19" spans="1:10">
      <c r="B19" s="304"/>
      <c r="C19" s="304"/>
      <c r="D19" s="379"/>
      <c r="E19" s="379"/>
      <c r="F19" s="379"/>
      <c r="G19" s="379"/>
      <c r="H19" s="379"/>
      <c r="I19" s="146"/>
      <c r="J19" s="146"/>
    </row>
    <row r="20" spans="1:10" ht="29">
      <c r="B20" s="297" t="s">
        <v>197</v>
      </c>
      <c r="C20" s="270" t="s">
        <v>195</v>
      </c>
      <c r="D20" s="181" t="s">
        <v>84</v>
      </c>
      <c r="E20" s="181" t="s">
        <v>85</v>
      </c>
      <c r="F20" s="181" t="s">
        <v>86</v>
      </c>
      <c r="G20" s="181" t="s">
        <v>87</v>
      </c>
      <c r="H20" s="181" t="s">
        <v>88</v>
      </c>
      <c r="I20" s="146"/>
      <c r="J20" s="146"/>
    </row>
    <row r="21" spans="1:10">
      <c r="B21" s="331" t="s">
        <v>198</v>
      </c>
      <c r="C21" s="288" t="s">
        <v>199</v>
      </c>
      <c r="D21" s="288" t="s">
        <v>199</v>
      </c>
      <c r="E21" s="288" t="s">
        <v>199</v>
      </c>
      <c r="F21" s="288" t="s">
        <v>199</v>
      </c>
      <c r="G21" s="288" t="s">
        <v>199</v>
      </c>
      <c r="H21" s="288" t="s">
        <v>199</v>
      </c>
      <c r="I21" s="146"/>
      <c r="J21" s="146"/>
    </row>
    <row r="22" spans="1:10">
      <c r="B22" s="303" t="s">
        <v>200</v>
      </c>
      <c r="C22" s="289">
        <f>'Financial impact (cash)'!D20</f>
        <v>0</v>
      </c>
      <c r="D22" s="289">
        <f>'Financial impact (cash)'!E20</f>
        <v>0</v>
      </c>
      <c r="E22" s="289">
        <f>'Financial impact (cash)'!F20</f>
        <v>0</v>
      </c>
      <c r="F22" s="289">
        <f>'Financial impact (cash)'!G20</f>
        <v>0</v>
      </c>
      <c r="G22" s="289">
        <f>'Financial impact (cash)'!H20</f>
        <v>0</v>
      </c>
      <c r="H22" s="289">
        <f>'Financial impact (cash)'!I20</f>
        <v>0</v>
      </c>
      <c r="I22" s="146"/>
      <c r="J22" s="146"/>
    </row>
    <row r="23" spans="1:10">
      <c r="C23" s="81"/>
      <c r="D23" s="216">
        <f>D22-$C$22</f>
        <v>0</v>
      </c>
      <c r="E23" s="216">
        <f>E22-$C$22</f>
        <v>0</v>
      </c>
      <c r="F23" s="216">
        <f>F22-$C$22</f>
        <v>0</v>
      </c>
      <c r="G23" s="216">
        <f>G22-$C$22</f>
        <v>0</v>
      </c>
      <c r="H23" s="216">
        <f>H22-$C$22</f>
        <v>0</v>
      </c>
      <c r="I23" s="505" t="s">
        <v>201</v>
      </c>
      <c r="J23" s="146"/>
    </row>
    <row r="24" spans="1:10">
      <c r="C24" s="91"/>
      <c r="D24" s="216">
        <f>D22-C22</f>
        <v>0</v>
      </c>
      <c r="E24" s="216">
        <f>E22-D22</f>
        <v>0</v>
      </c>
      <c r="F24" s="216">
        <f>F22-E22</f>
        <v>0</v>
      </c>
      <c r="G24" s="216">
        <f>G22-F22</f>
        <v>0</v>
      </c>
      <c r="H24" s="216">
        <f>H22-G22</f>
        <v>0</v>
      </c>
      <c r="I24" s="505" t="s">
        <v>202</v>
      </c>
      <c r="J24" s="146"/>
    </row>
    <row r="25" spans="1:10">
      <c r="B25" s="304"/>
      <c r="C25" s="304"/>
      <c r="D25" s="449"/>
      <c r="E25" s="449"/>
      <c r="F25" s="449"/>
      <c r="G25" s="449"/>
      <c r="H25" s="449"/>
      <c r="J25" s="146"/>
    </row>
    <row r="26" spans="1:10">
      <c r="B26" t="s">
        <v>203</v>
      </c>
      <c r="C26" s="304"/>
      <c r="D26" s="449"/>
      <c r="E26" s="449"/>
      <c r="F26" s="449"/>
      <c r="G26" s="449"/>
      <c r="H26" s="449"/>
      <c r="J26" s="146"/>
    </row>
    <row r="27" spans="1:10">
      <c r="B27" s="702" t="s">
        <v>185</v>
      </c>
      <c r="C27" s="304"/>
      <c r="D27" s="449"/>
      <c r="E27" s="449"/>
      <c r="F27" s="449"/>
      <c r="G27" s="449"/>
      <c r="H27" s="449"/>
      <c r="J27" s="146"/>
    </row>
    <row r="28" spans="1:10">
      <c r="B28" s="304"/>
      <c r="C28" s="304"/>
      <c r="D28" s="449"/>
      <c r="E28" s="449"/>
      <c r="F28" s="449"/>
      <c r="G28" s="449"/>
      <c r="H28" s="449"/>
      <c r="J28" s="146"/>
    </row>
    <row r="29" spans="1:10" ht="29">
      <c r="A29" s="449"/>
      <c r="B29" s="297" t="s">
        <v>204</v>
      </c>
      <c r="C29" s="270" t="s">
        <v>195</v>
      </c>
      <c r="D29" s="181" t="s">
        <v>84</v>
      </c>
      <c r="E29" s="181" t="s">
        <v>85</v>
      </c>
      <c r="F29" s="181" t="s">
        <v>86</v>
      </c>
      <c r="G29" s="181" t="s">
        <v>87</v>
      </c>
      <c r="H29" s="181" t="s">
        <v>88</v>
      </c>
      <c r="J29" s="146"/>
    </row>
    <row r="30" spans="1:10">
      <c r="A30" s="449"/>
      <c r="B30" s="331" t="s">
        <v>205</v>
      </c>
      <c r="C30" s="288" t="s">
        <v>199</v>
      </c>
      <c r="D30" s="288" t="s">
        <v>199</v>
      </c>
      <c r="E30" s="288" t="s">
        <v>199</v>
      </c>
      <c r="F30" s="288" t="s">
        <v>199</v>
      </c>
      <c r="G30" s="288" t="s">
        <v>199</v>
      </c>
      <c r="H30" s="288" t="s">
        <v>199</v>
      </c>
      <c r="J30" s="146"/>
    </row>
    <row r="31" spans="1:10">
      <c r="A31" s="449"/>
      <c r="B31" s="303" t="s">
        <v>206</v>
      </c>
      <c r="C31" s="289">
        <f>IF($B$27="national prices",'Capacity (national prices)'!K27,IF($B$27="local prices",'Capacity (local prices)'!K27,0))</f>
        <v>0</v>
      </c>
      <c r="D31" s="289">
        <f>IF($B$27="national prices",'Capacity (national prices)'!L27,IF($B$27="local prices",'Capacity (local prices)'!L27,0))</f>
        <v>639.94617747445113</v>
      </c>
      <c r="E31" s="289">
        <f>IF($B$27="national prices",'Capacity (national prices)'!M27,IF($B$27="local prices",'Capacity (local prices)'!M27,0))</f>
        <v>817.08114265977429</v>
      </c>
      <c r="F31" s="289">
        <f>IF($B$27="national prices",'Capacity (national prices)'!N27,IF($B$27="local prices",'Capacity (local prices)'!N27,0))</f>
        <v>823.61563797316308</v>
      </c>
      <c r="G31" s="289">
        <f>IF($B$27="national prices",'Capacity (national prices)'!O27,IF($B$27="local prices",'Capacity (local prices)'!O27,0))</f>
        <v>830.20239202411358</v>
      </c>
      <c r="H31" s="289">
        <f>IF($B$27="national prices",'Capacity (national prices)'!P27,IF($B$27="local prices",'Capacity (local prices)'!P27,0))</f>
        <v>836.84182274477178</v>
      </c>
      <c r="J31" s="146"/>
    </row>
    <row r="32" spans="1:10">
      <c r="A32" s="449"/>
      <c r="C32" s="81"/>
      <c r="D32" s="216">
        <f>D31-$C$31</f>
        <v>639.94617747445113</v>
      </c>
      <c r="E32" s="216">
        <f>E31-$C$31</f>
        <v>817.08114265977429</v>
      </c>
      <c r="F32" s="216">
        <f>F31-$C$31</f>
        <v>823.61563797316308</v>
      </c>
      <c r="G32" s="216">
        <f>G31-$C$31</f>
        <v>830.20239202411358</v>
      </c>
      <c r="H32" s="216">
        <f>H31-$C$31</f>
        <v>836.84182274477178</v>
      </c>
      <c r="I32" s="505" t="s">
        <v>201</v>
      </c>
      <c r="J32" s="146"/>
    </row>
    <row r="33" spans="1:10">
      <c r="A33" s="449"/>
      <c r="C33" s="91"/>
      <c r="D33" s="216">
        <f>D31-C31</f>
        <v>639.94617747445113</v>
      </c>
      <c r="E33" s="216">
        <f>E31-D31</f>
        <v>177.13496518532315</v>
      </c>
      <c r="F33" s="216">
        <f>F31-E31</f>
        <v>6.5344953133887884</v>
      </c>
      <c r="G33" s="216">
        <f>G31-F31</f>
        <v>6.5867540509505034</v>
      </c>
      <c r="H33" s="216">
        <f>H31-G31</f>
        <v>6.6394307206581971</v>
      </c>
      <c r="I33" s="505" t="s">
        <v>202</v>
      </c>
      <c r="J33" s="146"/>
    </row>
    <row r="34" spans="1:10">
      <c r="A34" s="449"/>
      <c r="B34" s="449"/>
      <c r="C34" s="449"/>
      <c r="D34" s="449"/>
      <c r="E34" s="449"/>
      <c r="F34" s="449"/>
      <c r="G34" s="449"/>
      <c r="H34" s="449"/>
      <c r="J34" s="146"/>
    </row>
    <row r="35" spans="1:10" ht="29">
      <c r="A35" s="449"/>
      <c r="B35" s="297" t="s">
        <v>207</v>
      </c>
      <c r="C35" s="270" t="s">
        <v>195</v>
      </c>
      <c r="D35" s="181" t="s">
        <v>84</v>
      </c>
      <c r="E35" s="181" t="s">
        <v>85</v>
      </c>
      <c r="F35" s="181" t="s">
        <v>86</v>
      </c>
      <c r="G35" s="181" t="s">
        <v>87</v>
      </c>
      <c r="H35" s="181" t="s">
        <v>88</v>
      </c>
      <c r="J35" s="146"/>
    </row>
    <row r="36" spans="1:10">
      <c r="B36" s="331"/>
      <c r="C36" s="288" t="s">
        <v>199</v>
      </c>
      <c r="D36" s="288" t="s">
        <v>199</v>
      </c>
      <c r="E36" s="288" t="s">
        <v>199</v>
      </c>
      <c r="F36" s="288" t="s">
        <v>199</v>
      </c>
      <c r="G36" s="288" t="s">
        <v>199</v>
      </c>
      <c r="H36" s="288" t="s">
        <v>199</v>
      </c>
      <c r="I36" s="146"/>
      <c r="J36" s="146"/>
    </row>
    <row r="37" spans="1:10">
      <c r="B37" s="583" t="s">
        <v>208</v>
      </c>
      <c r="C37" s="603">
        <f>C22+C31</f>
        <v>0</v>
      </c>
      <c r="D37" s="603">
        <f t="shared" ref="D37:H37" si="1">D22+D31</f>
        <v>639.94617747445113</v>
      </c>
      <c r="E37" s="603">
        <f t="shared" si="1"/>
        <v>817.08114265977429</v>
      </c>
      <c r="F37" s="603">
        <f t="shared" si="1"/>
        <v>823.61563797316308</v>
      </c>
      <c r="G37" s="603">
        <f t="shared" si="1"/>
        <v>830.20239202411358</v>
      </c>
      <c r="H37" s="603">
        <f t="shared" si="1"/>
        <v>836.84182274477178</v>
      </c>
      <c r="I37" s="146"/>
      <c r="J37" s="146"/>
    </row>
    <row r="38" spans="1:10">
      <c r="B38" s="582"/>
      <c r="C38" s="584"/>
      <c r="D38" s="585">
        <f>D37-$C$37</f>
        <v>639.94617747445113</v>
      </c>
      <c r="E38" s="585">
        <f t="shared" ref="E38:H38" si="2">E37-$C$37</f>
        <v>817.08114265977429</v>
      </c>
      <c r="F38" s="585">
        <f t="shared" si="2"/>
        <v>823.61563797316308</v>
      </c>
      <c r="G38" s="585">
        <f t="shared" si="2"/>
        <v>830.20239202411358</v>
      </c>
      <c r="H38" s="585">
        <f t="shared" si="2"/>
        <v>836.84182274477178</v>
      </c>
      <c r="I38" s="505" t="s">
        <v>201</v>
      </c>
      <c r="J38" s="146"/>
    </row>
    <row r="39" spans="1:10">
      <c r="B39" s="582"/>
      <c r="C39" s="584"/>
      <c r="D39" s="586">
        <f>D37-C37</f>
        <v>639.94617747445113</v>
      </c>
      <c r="E39" s="586">
        <f>E37-D37</f>
        <v>177.13496518532315</v>
      </c>
      <c r="F39" s="586">
        <f>F37-E37</f>
        <v>6.5344953133887884</v>
      </c>
      <c r="G39" s="586">
        <f>G37-F37</f>
        <v>6.5867540509505034</v>
      </c>
      <c r="H39" s="586">
        <f>H37-G37</f>
        <v>6.6394307206581971</v>
      </c>
      <c r="I39" s="505" t="s">
        <v>202</v>
      </c>
      <c r="J39" s="146"/>
    </row>
    <row r="40" spans="1:10" ht="15" thickBot="1">
      <c r="B40" s="587"/>
      <c r="C40" s="587"/>
      <c r="D40" s="588"/>
      <c r="E40" s="588"/>
      <c r="F40" s="588"/>
      <c r="G40" s="588"/>
      <c r="H40" s="588"/>
      <c r="I40" s="589"/>
      <c r="J40" s="146"/>
    </row>
    <row r="41" spans="1:10">
      <c r="B41" s="304"/>
      <c r="C41" s="304"/>
      <c r="D41" s="379"/>
      <c r="E41" s="379"/>
      <c r="F41" s="379"/>
      <c r="G41" s="379"/>
      <c r="H41" s="379"/>
      <c r="I41" s="146"/>
      <c r="J41" s="146"/>
    </row>
    <row r="42" spans="1:10">
      <c r="B42" s="297" t="s">
        <v>209</v>
      </c>
      <c r="C42" s="564"/>
      <c r="D42" s="181" t="s">
        <v>84</v>
      </c>
      <c r="E42" s="181" t="s">
        <v>85</v>
      </c>
      <c r="F42" s="181" t="s">
        <v>86</v>
      </c>
      <c r="G42" s="181" t="s">
        <v>87</v>
      </c>
      <c r="H42" s="181" t="s">
        <v>88</v>
      </c>
      <c r="I42" s="146"/>
      <c r="J42" s="146"/>
    </row>
    <row r="43" spans="1:10">
      <c r="B43" s="567"/>
      <c r="C43" s="565"/>
      <c r="D43" s="566"/>
      <c r="E43" s="566"/>
      <c r="F43" s="566"/>
      <c r="G43" s="566"/>
      <c r="H43" s="566"/>
      <c r="I43" s="146"/>
      <c r="J43" s="146"/>
    </row>
    <row r="44" spans="1:10">
      <c r="B44" s="297" t="s">
        <v>210</v>
      </c>
      <c r="C44" s="295"/>
      <c r="D44" s="291"/>
      <c r="E44" s="291"/>
      <c r="F44" s="291"/>
      <c r="G44" s="291"/>
      <c r="H44" s="292"/>
      <c r="I44" s="146"/>
      <c r="J44" s="146"/>
    </row>
    <row r="45" spans="1:10">
      <c r="B45" s="299" t="s">
        <v>211</v>
      </c>
      <c r="C45" s="300"/>
      <c r="D45" s="200">
        <f>'Capacity (local prices)'!E37</f>
        <v>228.39502152427639</v>
      </c>
      <c r="E45" s="200">
        <f>'Capacity (local prices)'!F37</f>
        <v>291.61400088573839</v>
      </c>
      <c r="F45" s="200">
        <f>'Capacity (local prices)'!G37</f>
        <v>293.94614419760518</v>
      </c>
      <c r="G45" s="200">
        <f>'Capacity (local prices)'!H37</f>
        <v>296.29693850843137</v>
      </c>
      <c r="H45" s="200">
        <f>'Capacity (local prices)'!I37</f>
        <v>298.66653297704465</v>
      </c>
      <c r="I45" s="146"/>
      <c r="J45" s="146"/>
    </row>
    <row r="46" spans="1:10">
      <c r="B46" s="299" t="s">
        <v>212</v>
      </c>
      <c r="C46" s="300"/>
      <c r="D46" s="200">
        <f>'Capacity (local prices)'!E44</f>
        <v>2512.3452367670402</v>
      </c>
      <c r="E46" s="200">
        <f>'Capacity (local prices)'!F44</f>
        <v>3207.7540097431224</v>
      </c>
      <c r="F46" s="200">
        <f>'Capacity (local prices)'!G44</f>
        <v>3233.4075861736569</v>
      </c>
      <c r="G46" s="200">
        <f>'Capacity (local prices)'!H44</f>
        <v>3259.2663235927448</v>
      </c>
      <c r="H46" s="200">
        <f>'Capacity (local prices)'!I44</f>
        <v>3285.331862747491</v>
      </c>
      <c r="I46" s="146"/>
      <c r="J46" s="146"/>
    </row>
    <row r="47" spans="1:10">
      <c r="B47" s="299" t="s">
        <v>1097</v>
      </c>
      <c r="C47" s="300"/>
      <c r="D47" s="200">
        <f>'Capacity (local prices)'!E50</f>
        <v>2512.3452367670402</v>
      </c>
      <c r="E47" s="200">
        <f>'Capacity (local prices)'!F50</f>
        <v>3207.7540097431224</v>
      </c>
      <c r="F47" s="200">
        <f>'Capacity (local prices)'!G50</f>
        <v>3233.4075861736569</v>
      </c>
      <c r="G47" s="200">
        <f>'Capacity (local prices)'!H50</f>
        <v>3259.2663235927448</v>
      </c>
      <c r="H47" s="200">
        <f>'Capacity (local prices)'!I50</f>
        <v>3285.331862747491</v>
      </c>
      <c r="I47" s="146"/>
      <c r="J47" s="146"/>
    </row>
    <row r="48" spans="1:10">
      <c r="B48" s="299" t="s">
        <v>1091</v>
      </c>
      <c r="C48" s="300"/>
      <c r="D48" s="200">
        <f>'Capacity (local prices)'!E56</f>
        <v>1370.3701291456582</v>
      </c>
      <c r="E48" s="200">
        <f>'Capacity (local prices)'!F56</f>
        <v>1749.6840053144304</v>
      </c>
      <c r="F48" s="200">
        <f>'Capacity (local prices)'!G56</f>
        <v>1763.676865185631</v>
      </c>
      <c r="G48" s="200">
        <f>'Capacity (local prices)'!H56</f>
        <v>1777.7816310505882</v>
      </c>
      <c r="H48" s="200">
        <f>'Capacity (local prices)'!I56</f>
        <v>1791.9991978622679</v>
      </c>
      <c r="I48" s="146"/>
      <c r="J48" s="146"/>
    </row>
    <row r="49" spans="2:10">
      <c r="B49" s="299" t="s">
        <v>1092</v>
      </c>
      <c r="C49" s="300"/>
      <c r="D49" s="200">
        <f>'Capacity (local prices)'!E62</f>
        <v>1256.1726183835201</v>
      </c>
      <c r="E49" s="200">
        <f>'Capacity (local prices)'!F62</f>
        <v>1603.8770048715612</v>
      </c>
      <c r="F49" s="200">
        <f>'Capacity (local prices)'!G62</f>
        <v>1616.7037930868285</v>
      </c>
      <c r="G49" s="200">
        <f>'Capacity (local prices)'!H62</f>
        <v>1629.6331617963724</v>
      </c>
      <c r="H49" s="200">
        <f>'Capacity (local prices)'!I62</f>
        <v>1642.6659313737455</v>
      </c>
      <c r="I49" s="146"/>
      <c r="J49" s="146"/>
    </row>
    <row r="50" spans="2:10">
      <c r="B50" s="299" t="s">
        <v>213</v>
      </c>
      <c r="C50" s="300"/>
      <c r="D50" s="200">
        <f>'Capacity (local prices)'!E69</f>
        <v>2740.7402582913164</v>
      </c>
      <c r="E50" s="200">
        <f>'Capacity (local prices)'!F69</f>
        <v>3499.3680106288607</v>
      </c>
      <c r="F50" s="200">
        <f>'Capacity (local prices)'!G69</f>
        <v>3527.3537303712619</v>
      </c>
      <c r="G50" s="200">
        <f>'Capacity (local prices)'!H69</f>
        <v>3555.5632621011764</v>
      </c>
      <c r="H50" s="200">
        <f>'Capacity (local prices)'!I69</f>
        <v>3583.9983957245358</v>
      </c>
      <c r="I50" s="146"/>
      <c r="J50" s="146"/>
    </row>
    <row r="51" spans="2:10">
      <c r="I51" s="146"/>
      <c r="J51" s="146"/>
    </row>
    <row r="52" spans="2:10">
      <c r="B52" s="297" t="s">
        <v>214</v>
      </c>
      <c r="C52" s="298"/>
      <c r="D52" s="291"/>
      <c r="E52" s="291"/>
      <c r="F52" s="291"/>
      <c r="G52" s="291"/>
      <c r="H52" s="292"/>
      <c r="I52" s="146"/>
      <c r="J52" s="146"/>
    </row>
    <row r="53" spans="2:10">
      <c r="B53" s="299" t="s">
        <v>215</v>
      </c>
      <c r="C53" s="300"/>
      <c r="D53" s="200">
        <f>'Capacity (local prices)'!E76</f>
        <v>0</v>
      </c>
      <c r="E53" s="200">
        <f>'Capacity (local prices)'!F76</f>
        <v>0</v>
      </c>
      <c r="F53" s="200">
        <f>'Capacity (local prices)'!G76</f>
        <v>0</v>
      </c>
      <c r="G53" s="200">
        <f>'Capacity (local prices)'!H76</f>
        <v>0</v>
      </c>
      <c r="H53" s="200">
        <f>'Capacity (local prices)'!I76</f>
        <v>0</v>
      </c>
      <c r="I53" s="146"/>
      <c r="J53" s="146"/>
    </row>
    <row r="54" spans="2:10">
      <c r="B54" s="299" t="s">
        <v>216</v>
      </c>
      <c r="C54" s="300"/>
      <c r="D54" s="200">
        <f>'Capacity (local prices)'!E82</f>
        <v>0</v>
      </c>
      <c r="E54" s="200">
        <f>'Capacity (local prices)'!F82</f>
        <v>0</v>
      </c>
      <c r="F54" s="200">
        <f>'Capacity (local prices)'!G82</f>
        <v>0</v>
      </c>
      <c r="G54" s="200">
        <f>'Capacity (local prices)'!H82</f>
        <v>0</v>
      </c>
      <c r="H54" s="200">
        <f>'Capacity (local prices)'!I82</f>
        <v>0</v>
      </c>
      <c r="I54" s="146"/>
      <c r="J54" s="146"/>
    </row>
    <row r="55" spans="2:10">
      <c r="B55" s="299" t="s">
        <v>217</v>
      </c>
      <c r="C55" s="300"/>
      <c r="D55" s="200">
        <f>'Capacity (local prices)'!E88</f>
        <v>0</v>
      </c>
      <c r="E55" s="200">
        <f>'Capacity (local prices)'!F88</f>
        <v>0</v>
      </c>
      <c r="F55" s="200">
        <f>'Capacity (local prices)'!G88</f>
        <v>0</v>
      </c>
      <c r="G55" s="200">
        <f>'Capacity (local prices)'!H88</f>
        <v>0</v>
      </c>
      <c r="H55" s="200">
        <f>'Capacity (local prices)'!I88</f>
        <v>0</v>
      </c>
      <c r="I55" s="146"/>
      <c r="J55" s="146"/>
    </row>
    <row r="56" spans="2:10">
      <c r="I56" s="146"/>
      <c r="J56" s="146"/>
    </row>
    <row r="57" spans="2:10">
      <c r="B57" s="297" t="s">
        <v>218</v>
      </c>
      <c r="C57" s="298"/>
      <c r="D57" s="291"/>
      <c r="E57" s="291"/>
      <c r="F57" s="291"/>
      <c r="G57" s="291"/>
      <c r="H57" s="292"/>
      <c r="I57" s="146"/>
      <c r="J57" s="146"/>
    </row>
    <row r="58" spans="2:10" ht="29">
      <c r="B58" s="386" t="s">
        <v>219</v>
      </c>
      <c r="C58" s="305"/>
      <c r="D58" s="425">
        <f>'Capacity (local prices)'!E95</f>
        <v>0</v>
      </c>
      <c r="E58" s="200">
        <f>'Capacity (local prices)'!F95</f>
        <v>0</v>
      </c>
      <c r="F58" s="200">
        <f>'Capacity (local prices)'!G95</f>
        <v>0</v>
      </c>
      <c r="G58" s="200">
        <f>'Capacity (local prices)'!H95</f>
        <v>0</v>
      </c>
      <c r="H58" s="200">
        <f>'Capacity (local prices)'!I95</f>
        <v>0</v>
      </c>
      <c r="I58" s="146"/>
      <c r="J58" s="146"/>
    </row>
    <row r="59" spans="2:10" ht="29">
      <c r="B59" s="386" t="s">
        <v>220</v>
      </c>
      <c r="C59" s="305"/>
      <c r="D59" s="425">
        <f>'Capacity (local prices)'!E101</f>
        <v>0</v>
      </c>
      <c r="E59" s="200">
        <f>'Capacity (local prices)'!F101</f>
        <v>0</v>
      </c>
      <c r="F59" s="200">
        <f>'Capacity (local prices)'!G101</f>
        <v>0</v>
      </c>
      <c r="G59" s="200">
        <f>'Capacity (local prices)'!H101</f>
        <v>0</v>
      </c>
      <c r="H59" s="200">
        <f>'Capacity (local prices)'!I101</f>
        <v>0</v>
      </c>
      <c r="I59" s="146"/>
    </row>
    <row r="60" spans="2:10" ht="14.5" customHeight="1">
      <c r="B60" s="386" t="s">
        <v>221</v>
      </c>
      <c r="C60" s="305"/>
      <c r="D60" s="425">
        <f>'Capacity (local prices)'!E107</f>
        <v>0</v>
      </c>
      <c r="E60" s="200">
        <f>'Capacity (local prices)'!F107</f>
        <v>0</v>
      </c>
      <c r="F60" s="200">
        <f>'Capacity (local prices)'!G107</f>
        <v>0</v>
      </c>
      <c r="G60" s="200">
        <f>'Capacity (local prices)'!H107</f>
        <v>0</v>
      </c>
      <c r="H60" s="200">
        <f>'Capacity (local prices)'!I107</f>
        <v>0</v>
      </c>
      <c r="I60" s="146"/>
      <c r="J60" s="146"/>
    </row>
    <row r="61" spans="2:10" ht="14.5" customHeight="1">
      <c r="B61" s="386" t="s">
        <v>222</v>
      </c>
      <c r="C61" s="305"/>
      <c r="D61" s="425">
        <f>'Capacity (local prices)'!E113</f>
        <v>0</v>
      </c>
      <c r="E61" s="200">
        <f>'Capacity (local prices)'!F113</f>
        <v>0</v>
      </c>
      <c r="F61" s="200">
        <f>'Capacity (local prices)'!G113</f>
        <v>0</v>
      </c>
      <c r="G61" s="200">
        <f>'Capacity (local prices)'!H113</f>
        <v>0</v>
      </c>
      <c r="H61" s="200">
        <f>'Capacity (local prices)'!I113</f>
        <v>0</v>
      </c>
      <c r="I61" s="146"/>
      <c r="J61" s="146"/>
    </row>
    <row r="62" spans="2:10">
      <c r="B62" s="386" t="s">
        <v>223</v>
      </c>
      <c r="C62" s="305"/>
      <c r="D62" s="425">
        <f>'Capacity (local prices)'!E119</f>
        <v>114.19751076213819</v>
      </c>
      <c r="E62" s="200">
        <f>'Capacity (local prices)'!F119</f>
        <v>145.8070004428692</v>
      </c>
      <c r="F62" s="200">
        <f>'Capacity (local prices)'!G119</f>
        <v>146.97307209880262</v>
      </c>
      <c r="G62" s="200">
        <f>'Capacity (local prices)'!H119</f>
        <v>148.14846925421568</v>
      </c>
      <c r="H62" s="200">
        <f>'Capacity (local prices)'!I119</f>
        <v>149.33326648852233</v>
      </c>
      <c r="I62" s="146"/>
      <c r="J62" s="146"/>
    </row>
    <row r="63" spans="2:10">
      <c r="I63" s="146"/>
      <c r="J63" s="146"/>
    </row>
    <row r="64" spans="2:10">
      <c r="B64" s="297" t="s">
        <v>224</v>
      </c>
      <c r="C64" s="298"/>
      <c r="D64" s="291"/>
      <c r="E64" s="291"/>
      <c r="F64" s="291"/>
      <c r="G64" s="291"/>
      <c r="H64" s="292"/>
      <c r="I64" s="146"/>
      <c r="J64" s="146"/>
    </row>
    <row r="65" spans="2:14">
      <c r="B65" s="386" t="s">
        <v>225</v>
      </c>
      <c r="C65" s="305"/>
      <c r="D65" s="425">
        <f>'Capacity (local prices)'!E126</f>
        <v>2740.7402582913164</v>
      </c>
      <c r="E65" s="200">
        <f>'Capacity (local prices)'!F126</f>
        <v>3499.3680106288607</v>
      </c>
      <c r="F65" s="200">
        <f>'Capacity (local prices)'!G126</f>
        <v>3527.3537303712619</v>
      </c>
      <c r="G65" s="200">
        <f>'Capacity (local prices)'!H126</f>
        <v>3555.5632621011764</v>
      </c>
      <c r="H65" s="200">
        <f>'Capacity (local prices)'!I126</f>
        <v>3583.9983957245358</v>
      </c>
      <c r="I65" s="146"/>
      <c r="J65" s="146"/>
    </row>
    <row r="66" spans="2:14">
      <c r="I66" s="146"/>
      <c r="J66" s="146"/>
    </row>
    <row r="67" spans="2:14">
      <c r="I67" s="146"/>
      <c r="J67" s="146"/>
    </row>
    <row r="68" spans="2:14">
      <c r="B68" s="297" t="s">
        <v>226</v>
      </c>
      <c r="C68" s="298"/>
      <c r="D68" s="291"/>
      <c r="E68" s="291"/>
      <c r="F68" s="291"/>
      <c r="G68" s="291"/>
      <c r="H68" s="292"/>
      <c r="I68" s="146"/>
      <c r="J68" s="146"/>
    </row>
    <row r="69" spans="2:14">
      <c r="B69" s="299" t="s">
        <v>1051</v>
      </c>
      <c r="C69" s="300"/>
      <c r="D69" s="425">
        <f>'Capacity (local prices)'!E133</f>
        <v>2740.7402582913164</v>
      </c>
      <c r="E69" s="200">
        <f>'Capacity (local prices)'!F133</f>
        <v>3499.3680106288607</v>
      </c>
      <c r="F69" s="200">
        <f>'Capacity (local prices)'!G133</f>
        <v>3527.3537303712619</v>
      </c>
      <c r="G69" s="200">
        <f>'Capacity (local prices)'!H133</f>
        <v>3555.5632621011764</v>
      </c>
      <c r="H69" s="200">
        <f>'Capacity (local prices)'!I133</f>
        <v>3583.9983957245358</v>
      </c>
      <c r="I69" s="146"/>
      <c r="J69" s="146"/>
    </row>
    <row r="70" spans="2:14">
      <c r="I70" s="146"/>
      <c r="J70" s="146"/>
    </row>
    <row r="71" spans="2:14">
      <c r="B71" s="297" t="s">
        <v>227</v>
      </c>
      <c r="C71" s="295"/>
      <c r="D71" s="291"/>
      <c r="E71" s="291"/>
      <c r="F71" s="291"/>
      <c r="G71" s="291"/>
      <c r="H71" s="292"/>
      <c r="I71" s="146"/>
      <c r="J71" s="146"/>
    </row>
    <row r="72" spans="2:14">
      <c r="B72" s="299" t="s">
        <v>228</v>
      </c>
      <c r="C72" s="300"/>
      <c r="D72" s="425">
        <f>'Capacity (local prices)'!E143</f>
        <v>153.25305944278946</v>
      </c>
      <c r="E72" s="200">
        <f>'Capacity (local prices)'!F143</f>
        <v>195.67299459433048</v>
      </c>
      <c r="F72" s="200">
        <f>'Capacity (local prices)'!G143</f>
        <v>197.23786275659307</v>
      </c>
      <c r="G72" s="200">
        <f>'Capacity (local prices)'!H143</f>
        <v>198.81524573915746</v>
      </c>
      <c r="H72" s="200">
        <f>'Capacity (local prices)'!I143</f>
        <v>200.40524362759697</v>
      </c>
      <c r="I72" s="146"/>
      <c r="J72" s="146"/>
    </row>
    <row r="73" spans="2:14">
      <c r="B73" s="304"/>
      <c r="C73" s="304"/>
      <c r="D73" s="290"/>
      <c r="E73" s="290"/>
      <c r="F73" s="290"/>
      <c r="G73" s="290"/>
      <c r="H73" s="290"/>
      <c r="I73" s="146"/>
      <c r="J73" s="146"/>
    </row>
    <row r="75" spans="2:14">
      <c r="D75" s="712"/>
      <c r="E75" s="713"/>
      <c r="F75" s="713"/>
      <c r="G75" s="713"/>
      <c r="H75" s="713"/>
      <c r="I75" s="713"/>
      <c r="J75" s="713"/>
      <c r="K75" s="713"/>
      <c r="L75" s="713"/>
      <c r="M75" s="713"/>
      <c r="N75" s="713"/>
    </row>
    <row r="76" spans="2:14">
      <c r="D76" s="713"/>
      <c r="E76" s="713"/>
      <c r="F76" s="713"/>
      <c r="G76" s="713"/>
      <c r="H76" s="713"/>
      <c r="I76" s="713"/>
      <c r="J76" s="713"/>
      <c r="K76" s="713"/>
      <c r="L76" s="713"/>
      <c r="M76" s="713"/>
      <c r="N76" s="713"/>
    </row>
    <row r="77" spans="2:14">
      <c r="D77" s="712"/>
      <c r="E77" s="713"/>
      <c r="F77" s="713"/>
      <c r="G77" s="713"/>
      <c r="H77" s="713"/>
      <c r="I77" s="713"/>
      <c r="J77" s="713"/>
      <c r="K77" s="713"/>
      <c r="L77" s="713"/>
      <c r="M77" s="713"/>
      <c r="N77" s="713"/>
    </row>
  </sheetData>
  <sheetProtection algorithmName="SHA-512" hashValue="6xmOrQePwuFFiTdojajIxFhdXKm82FDRNytdy68P9SnZNS4LiGF1OK1sFW6uQxXw/k9ey1NL4ibTki49HULmmQ==" saltValue="EU/OPC1/dhuLuwBzawrNDQ==" spinCount="100000" sheet="1" objects="1" scenarios="1"/>
  <mergeCells count="2">
    <mergeCell ref="D75:N76"/>
    <mergeCell ref="D77:N77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40" zoomScaleNormal="40" workbookViewId="0">
      <selection activeCell="A7" sqref="A7"/>
    </sheetView>
  </sheetViews>
  <sheetFormatPr defaultColWidth="9.1796875" defaultRowHeight="14"/>
  <cols>
    <col min="1" max="1" width="24.269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0.81640625" style="12" customWidth="1"/>
    <col min="18" max="18" width="20.1796875" style="12" customWidth="1"/>
    <col min="19" max="42" width="10.81640625" style="12" customWidth="1"/>
    <col min="43" max="50" width="10.81640625" style="13" customWidth="1"/>
    <col min="5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>
      <c r="B1" s="9" t="s">
        <v>229</v>
      </c>
      <c r="C1" s="105"/>
      <c r="D1" s="22"/>
      <c r="E1" s="10" t="s">
        <v>230</v>
      </c>
      <c r="F1" s="7"/>
      <c r="G1" s="7"/>
    </row>
    <row r="3" spans="2:106">
      <c r="B3" s="95" t="s">
        <v>231</v>
      </c>
      <c r="C3" s="618"/>
      <c r="D3" s="619"/>
      <c r="E3" s="619"/>
      <c r="F3" s="619"/>
      <c r="G3" s="96"/>
    </row>
    <row r="4" spans="2:106">
      <c r="B4" s="97"/>
      <c r="C4" s="98"/>
      <c r="D4" s="7"/>
      <c r="E4" s="7"/>
      <c r="F4" s="7"/>
      <c r="G4" s="99"/>
      <c r="L4" s="9" t="s">
        <v>232</v>
      </c>
      <c r="M4" s="9" t="s">
        <v>232</v>
      </c>
      <c r="N4" s="9" t="s">
        <v>233</v>
      </c>
      <c r="O4" s="9" t="s">
        <v>233</v>
      </c>
      <c r="P4" s="9" t="s">
        <v>234</v>
      </c>
      <c r="R4" s="185" t="s">
        <v>235</v>
      </c>
      <c r="S4" s="185" t="s">
        <v>136</v>
      </c>
      <c r="T4" s="185" t="s">
        <v>236</v>
      </c>
      <c r="V4" s="185" t="s">
        <v>237</v>
      </c>
    </row>
    <row r="5" spans="2:106" ht="28">
      <c r="B5" s="100" t="s">
        <v>238</v>
      </c>
      <c r="C5" s="98"/>
      <c r="D5" s="7"/>
      <c r="E5" s="7"/>
      <c r="F5" s="7"/>
      <c r="G5" s="99"/>
      <c r="L5" s="16" t="s">
        <v>239</v>
      </c>
      <c r="M5" s="16" t="s">
        <v>240</v>
      </c>
      <c r="N5" s="16" t="s">
        <v>241</v>
      </c>
      <c r="O5" s="16" t="s">
        <v>242</v>
      </c>
      <c r="P5" s="19"/>
      <c r="Q5" s="17"/>
      <c r="R5" s="16" t="s">
        <v>242</v>
      </c>
      <c r="S5" s="154" t="s">
        <v>185</v>
      </c>
      <c r="V5" s="155">
        <v>4</v>
      </c>
    </row>
    <row r="6" spans="2:106">
      <c r="B6" s="100" t="s">
        <v>243</v>
      </c>
      <c r="C6" s="98"/>
      <c r="D6" s="7"/>
      <c r="E6" s="7"/>
      <c r="F6" s="7"/>
      <c r="G6" s="99"/>
      <c r="J6" s="147"/>
      <c r="L6" s="21" t="s">
        <v>244</v>
      </c>
      <c r="M6" s="21" t="s">
        <v>245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10" t="s">
        <v>47</v>
      </c>
      <c r="S6" s="154" t="s">
        <v>186</v>
      </c>
      <c r="V6" s="155">
        <v>5</v>
      </c>
    </row>
    <row r="7" spans="2:106">
      <c r="B7" s="97"/>
      <c r="C7" s="98"/>
      <c r="D7" s="7"/>
      <c r="E7" s="7"/>
      <c r="F7" s="7"/>
      <c r="G7" s="99"/>
      <c r="L7" s="21" t="s">
        <v>43</v>
      </c>
      <c r="M7" s="21" t="s">
        <v>246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10" t="s">
        <v>247</v>
      </c>
      <c r="S7" s="446"/>
      <c r="V7" s="155">
        <v>6</v>
      </c>
    </row>
    <row r="8" spans="2:106" ht="19.5" customHeight="1">
      <c r="B8" s="101" t="s">
        <v>248</v>
      </c>
      <c r="C8" s="102"/>
      <c r="D8" s="103"/>
      <c r="E8" s="103"/>
      <c r="F8" s="103"/>
      <c r="G8" s="104"/>
      <c r="L8" s="21" t="s">
        <v>249</v>
      </c>
      <c r="M8" s="21" t="s">
        <v>250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>
      <c r="B9" s="14"/>
      <c r="L9" s="21" t="s">
        <v>251</v>
      </c>
      <c r="M9" s="21" t="s">
        <v>252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253</v>
      </c>
    </row>
    <row r="10" spans="2:106" ht="14.5">
      <c r="B10" s="14"/>
      <c r="K10" s="24"/>
      <c r="L10" s="21" t="s">
        <v>254</v>
      </c>
      <c r="M10" s="21" t="s">
        <v>255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256</v>
      </c>
    </row>
    <row r="11" spans="2:106">
      <c r="B11" s="9" t="s">
        <v>257</v>
      </c>
      <c r="C11" s="24"/>
      <c r="D11" s="24"/>
      <c r="E11" s="24"/>
      <c r="K11" s="24"/>
      <c r="L11" s="121" t="s">
        <v>258</v>
      </c>
      <c r="M11" s="21" t="s">
        <v>259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260</v>
      </c>
    </row>
    <row r="12" spans="2:106" ht="43.5" customHeight="1">
      <c r="B12" s="15"/>
      <c r="D12" s="222" t="s">
        <v>261</v>
      </c>
      <c r="E12" s="222" t="s">
        <v>261</v>
      </c>
      <c r="L12" s="21" t="s">
        <v>262</v>
      </c>
      <c r="M12" s="21" t="s">
        <v>263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264</v>
      </c>
    </row>
    <row r="13" spans="2:106" s="19" customFormat="1" ht="46" customHeight="1">
      <c r="B13" s="223" t="s">
        <v>44</v>
      </c>
      <c r="C13" s="223" t="s">
        <v>265</v>
      </c>
      <c r="D13" s="26" t="s">
        <v>266</v>
      </c>
      <c r="E13" s="26" t="s">
        <v>267</v>
      </c>
      <c r="F13" s="223" t="s">
        <v>268</v>
      </c>
      <c r="G13" s="11"/>
      <c r="H13" s="11"/>
      <c r="I13" s="11"/>
      <c r="K13" s="11"/>
      <c r="L13" s="21" t="s">
        <v>269</v>
      </c>
      <c r="M13" s="21" t="s">
        <v>270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56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224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271</v>
      </c>
      <c r="M14" s="21" t="s">
        <v>272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273</v>
      </c>
    </row>
    <row r="15" spans="2:106">
      <c r="B15" s="224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274</v>
      </c>
    </row>
    <row r="16" spans="2:106">
      <c r="B16" s="225" t="s">
        <v>275</v>
      </c>
      <c r="C16" s="226">
        <f>IF(C15&gt;0,C14,C15)</f>
        <v>56550138</v>
      </c>
      <c r="D16" s="226">
        <f>IF(D15&gt;0,D14,D15)</f>
        <v>21779298</v>
      </c>
      <c r="E16" s="226">
        <f>IF(E15&gt;0,E14,E15)</f>
        <v>22677552</v>
      </c>
      <c r="F16" s="226">
        <f>SUM(F15)</f>
        <v>44456850</v>
      </c>
      <c r="L16" s="22"/>
      <c r="M16" s="22"/>
      <c r="P16" s="444">
        <f>COUNTIF(P6:P14, TRUE)</f>
        <v>9</v>
      </c>
    </row>
    <row r="17" spans="1:194">
      <c r="Q17" s="23"/>
      <c r="R17" s="23"/>
    </row>
    <row r="18" spans="1:194" ht="45.65" customHeight="1">
      <c r="B18" s="93"/>
      <c r="C18" s="159"/>
      <c r="D18" s="26" t="s">
        <v>261</v>
      </c>
      <c r="E18" s="26" t="s">
        <v>261</v>
      </c>
      <c r="F18" s="93"/>
      <c r="I18" s="93"/>
      <c r="J18" s="93"/>
      <c r="K18" s="24"/>
      <c r="N18" s="24"/>
    </row>
    <row r="19" spans="1:194" ht="23.15" customHeight="1">
      <c r="D19" s="227">
        <v>2</v>
      </c>
      <c r="E19" s="227">
        <v>3</v>
      </c>
      <c r="F19" s="227">
        <v>4</v>
      </c>
      <c r="G19" s="227">
        <v>5</v>
      </c>
      <c r="H19" s="227">
        <v>6</v>
      </c>
      <c r="K19" s="24"/>
    </row>
    <row r="20" spans="1:194" s="1" customFormat="1" ht="48" customHeight="1">
      <c r="A20" s="137" t="s">
        <v>241</v>
      </c>
      <c r="B20" s="136" t="s">
        <v>276</v>
      </c>
      <c r="C20" s="136" t="s">
        <v>277</v>
      </c>
      <c r="D20" s="85" t="s">
        <v>278</v>
      </c>
      <c r="E20" s="85" t="s">
        <v>278</v>
      </c>
      <c r="F20" s="85" t="s">
        <v>279</v>
      </c>
      <c r="G20" s="85" t="s">
        <v>279</v>
      </c>
      <c r="H20" s="85" t="s">
        <v>279</v>
      </c>
      <c r="I20" s="136" t="s">
        <v>278</v>
      </c>
      <c r="J20" s="136" t="s">
        <v>278</v>
      </c>
      <c r="K20" s="136" t="s">
        <v>280</v>
      </c>
      <c r="L20" s="136" t="s">
        <v>280</v>
      </c>
      <c r="M20" s="138" t="s">
        <v>281</v>
      </c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139"/>
      <c r="CZ20" s="621" t="s">
        <v>282</v>
      </c>
      <c r="DA20" s="621"/>
      <c r="DB20" s="621"/>
      <c r="DC20" s="621"/>
      <c r="DD20" s="621"/>
      <c r="DE20" s="621"/>
      <c r="DF20" s="621"/>
      <c r="DG20" s="621"/>
      <c r="DH20" s="621"/>
      <c r="DI20" s="621"/>
      <c r="DJ20" s="621"/>
      <c r="DK20" s="621"/>
      <c r="DL20" s="621"/>
      <c r="DM20" s="621"/>
      <c r="DN20" s="621"/>
      <c r="DO20" s="621"/>
      <c r="DP20" s="621"/>
      <c r="DQ20" s="621"/>
      <c r="DR20" s="621"/>
      <c r="DS20" s="621"/>
      <c r="DT20" s="621"/>
      <c r="DU20" s="621"/>
      <c r="DV20" s="621"/>
      <c r="DW20" s="621"/>
      <c r="DX20" s="621"/>
      <c r="DY20" s="621"/>
      <c r="DZ20" s="621"/>
      <c r="EA20" s="621"/>
      <c r="EB20" s="621"/>
      <c r="EC20" s="621"/>
      <c r="ED20" s="621"/>
      <c r="EE20" s="621"/>
      <c r="EF20" s="621"/>
      <c r="EG20" s="621"/>
      <c r="EH20" s="621"/>
      <c r="EI20" s="621"/>
      <c r="EJ20" s="621"/>
      <c r="EK20" s="621"/>
      <c r="EL20" s="621"/>
      <c r="EM20" s="621"/>
      <c r="EN20" s="621"/>
      <c r="EO20" s="621"/>
      <c r="EP20" s="621"/>
      <c r="EQ20" s="621"/>
      <c r="ER20" s="621"/>
      <c r="ES20" s="621"/>
      <c r="ET20" s="621"/>
      <c r="EU20" s="621"/>
      <c r="EV20" s="621"/>
      <c r="EW20" s="621"/>
      <c r="EX20" s="621"/>
      <c r="EY20" s="621"/>
      <c r="EZ20" s="621"/>
      <c r="FA20" s="621"/>
      <c r="FB20" s="621"/>
      <c r="FC20" s="621"/>
      <c r="FD20" s="621"/>
      <c r="FE20" s="621"/>
      <c r="FF20" s="621"/>
      <c r="FG20" s="621"/>
      <c r="FH20" s="621"/>
      <c r="FI20" s="621"/>
      <c r="FJ20" s="621"/>
      <c r="FK20" s="621"/>
      <c r="FL20" s="621"/>
      <c r="FM20" s="621"/>
      <c r="FN20" s="621"/>
      <c r="FO20" s="621"/>
      <c r="FP20" s="621"/>
      <c r="FQ20" s="621"/>
      <c r="FR20" s="621"/>
      <c r="FS20" s="621"/>
      <c r="FT20" s="621"/>
      <c r="FU20" s="621"/>
      <c r="FV20" s="621"/>
      <c r="FW20" s="621"/>
      <c r="FX20" s="621"/>
      <c r="FY20" s="621"/>
      <c r="FZ20" s="621"/>
      <c r="GA20" s="621"/>
      <c r="GB20" s="621"/>
      <c r="GC20" s="621"/>
      <c r="GD20" s="621"/>
      <c r="GE20" s="621"/>
      <c r="GF20" s="621"/>
      <c r="GG20" s="621"/>
      <c r="GH20" s="621"/>
      <c r="GI20" s="621"/>
      <c r="GJ20" s="621"/>
      <c r="GK20" s="621"/>
      <c r="GL20" s="135"/>
    </row>
    <row r="21" spans="1:194" s="8" customFormat="1" ht="28">
      <c r="A21" s="137"/>
      <c r="B21" s="136"/>
      <c r="C21" s="136"/>
      <c r="D21" s="25" t="s">
        <v>266</v>
      </c>
      <c r="E21" s="26" t="s">
        <v>267</v>
      </c>
      <c r="F21" s="85" t="s">
        <v>283</v>
      </c>
      <c r="G21" s="84" t="s">
        <v>281</v>
      </c>
      <c r="H21" s="84" t="s">
        <v>282</v>
      </c>
      <c r="I21" s="85" t="s">
        <v>281</v>
      </c>
      <c r="J21" s="84" t="s">
        <v>282</v>
      </c>
      <c r="K21" s="85" t="s">
        <v>281</v>
      </c>
      <c r="L21" s="27" t="s">
        <v>282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284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284</v>
      </c>
    </row>
    <row r="22" spans="1:194" s="1" customFormat="1">
      <c r="A22" s="30"/>
      <c r="B22" s="72"/>
      <c r="C22" s="60"/>
      <c r="D22" s="81"/>
      <c r="E22" s="81"/>
      <c r="F22" s="622"/>
      <c r="G22" s="622"/>
      <c r="H22" s="81"/>
      <c r="I22" s="81"/>
      <c r="J22" s="81"/>
      <c r="K22" s="622"/>
      <c r="L22" s="81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622"/>
      <c r="AJ22" s="622"/>
      <c r="AK22" s="622"/>
      <c r="AL22" s="622"/>
      <c r="AM22" s="622"/>
      <c r="AN22" s="622"/>
      <c r="AO22" s="622"/>
      <c r="AP22" s="622"/>
      <c r="AQ22" s="622"/>
      <c r="AR22" s="622"/>
      <c r="AS22" s="622"/>
      <c r="AT22" s="622"/>
      <c r="AU22" s="622"/>
      <c r="AV22" s="622"/>
      <c r="AW22" s="622"/>
      <c r="AX22" s="622"/>
      <c r="AY22" s="622"/>
      <c r="AZ22" s="622"/>
      <c r="BA22" s="622"/>
      <c r="BB22" s="622"/>
      <c r="BC22" s="622"/>
      <c r="BD22" s="622"/>
      <c r="BE22" s="622"/>
      <c r="BF22" s="622"/>
      <c r="BG22" s="622"/>
      <c r="BH22" s="622"/>
      <c r="BI22" s="622"/>
      <c r="BJ22" s="622"/>
      <c r="BK22" s="622"/>
      <c r="BL22" s="622"/>
      <c r="BM22" s="622"/>
      <c r="BN22" s="622"/>
      <c r="BO22" s="622"/>
      <c r="BP22" s="622"/>
      <c r="BQ22" s="622"/>
      <c r="BR22" s="622"/>
      <c r="BS22" s="622"/>
      <c r="BT22" s="622"/>
      <c r="BU22" s="622"/>
      <c r="BV22" s="622"/>
      <c r="BW22" s="622"/>
      <c r="BX22" s="622"/>
      <c r="BY22" s="622"/>
      <c r="BZ22" s="622"/>
      <c r="CA22" s="622"/>
      <c r="CB22" s="622"/>
      <c r="CC22" s="622"/>
      <c r="CD22" s="622"/>
      <c r="CE22" s="622"/>
      <c r="CF22" s="622"/>
      <c r="CG22" s="622"/>
      <c r="CH22" s="622"/>
      <c r="CI22" s="622"/>
      <c r="CJ22" s="622"/>
      <c r="CK22" s="622"/>
      <c r="CL22" s="622"/>
      <c r="CM22" s="622"/>
      <c r="CN22" s="622"/>
      <c r="CO22" s="622"/>
      <c r="CP22" s="622"/>
      <c r="CQ22" s="622"/>
      <c r="CR22" s="622"/>
      <c r="CS22" s="622"/>
      <c r="CT22" s="622"/>
      <c r="CU22" s="622"/>
      <c r="CV22" s="622"/>
      <c r="CW22" s="622"/>
      <c r="CX22" s="622"/>
      <c r="CY22" s="81"/>
      <c r="CZ22" s="622"/>
      <c r="DA22" s="622"/>
      <c r="DB22" s="622"/>
      <c r="DC22" s="622"/>
      <c r="DD22" s="622"/>
      <c r="DE22" s="622"/>
      <c r="DF22" s="622"/>
      <c r="DG22" s="622"/>
      <c r="DH22" s="622"/>
      <c r="DI22" s="622"/>
      <c r="DJ22" s="622"/>
      <c r="DK22" s="622"/>
      <c r="DL22" s="622"/>
      <c r="DM22" s="622"/>
      <c r="DN22" s="622"/>
      <c r="DO22" s="622"/>
      <c r="DP22" s="622"/>
      <c r="DQ22" s="622"/>
      <c r="DR22" s="622"/>
      <c r="DS22" s="622"/>
      <c r="DT22" s="622"/>
      <c r="DU22" s="622"/>
      <c r="DV22" s="622"/>
      <c r="DW22" s="622"/>
      <c r="DX22" s="622"/>
      <c r="DY22" s="622"/>
      <c r="DZ22" s="622"/>
      <c r="EA22" s="622"/>
      <c r="EB22" s="622"/>
      <c r="EC22" s="622"/>
      <c r="ED22" s="622"/>
      <c r="EE22" s="622"/>
      <c r="EF22" s="622"/>
      <c r="EG22" s="622"/>
      <c r="EH22" s="622"/>
      <c r="EI22" s="622"/>
      <c r="EJ22" s="622"/>
      <c r="EK22" s="622"/>
      <c r="EL22" s="622"/>
      <c r="EM22" s="622"/>
      <c r="EN22" s="622"/>
      <c r="EO22" s="622"/>
      <c r="EP22" s="622"/>
      <c r="EQ22" s="622"/>
      <c r="ER22" s="622"/>
      <c r="ES22" s="622"/>
      <c r="ET22" s="622"/>
      <c r="EU22" s="622"/>
      <c r="EV22" s="622"/>
      <c r="EW22" s="622"/>
      <c r="EX22" s="622"/>
      <c r="EY22" s="622"/>
      <c r="EZ22" s="622"/>
      <c r="FA22" s="622"/>
      <c r="FB22" s="622"/>
      <c r="FC22" s="622"/>
      <c r="FD22" s="622"/>
      <c r="FE22" s="622"/>
      <c r="FF22" s="622"/>
      <c r="FG22" s="622"/>
      <c r="FH22" s="622"/>
      <c r="FI22" s="622"/>
      <c r="FJ22" s="622"/>
      <c r="FK22" s="622"/>
      <c r="FL22" s="622"/>
      <c r="FM22" s="622"/>
      <c r="FN22" s="622"/>
      <c r="FO22" s="622"/>
      <c r="FP22" s="622"/>
      <c r="FQ22" s="622"/>
      <c r="FR22" s="622"/>
      <c r="FS22" s="622"/>
      <c r="FT22" s="622"/>
      <c r="FU22" s="622"/>
      <c r="FV22" s="622"/>
      <c r="FW22" s="622"/>
      <c r="FX22" s="622"/>
      <c r="FY22" s="622"/>
      <c r="FZ22" s="622"/>
      <c r="GA22" s="622"/>
      <c r="GB22" s="622"/>
      <c r="GC22" s="622"/>
      <c r="GD22" s="622"/>
      <c r="GE22" s="622"/>
      <c r="GF22" s="622"/>
      <c r="GG22" s="622"/>
      <c r="GH22" s="622"/>
      <c r="GI22" s="622"/>
      <c r="GJ22" s="622"/>
      <c r="GK22" s="622"/>
      <c r="GL22" s="81"/>
    </row>
    <row r="23" spans="1:194" s="70" customFormat="1" ht="21.75" customHeight="1">
      <c r="A23" s="65" t="s">
        <v>239</v>
      </c>
      <c r="B23" s="66" t="s">
        <v>239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>
      <c r="A25" s="74" t="s">
        <v>43</v>
      </c>
      <c r="B25" s="80" t="s">
        <v>45</v>
      </c>
      <c r="C25" s="75" t="s">
        <v>285</v>
      </c>
      <c r="D25" s="77">
        <f t="shared" ref="D25:E27" si="3">I25</f>
        <v>21779298</v>
      </c>
      <c r="E25" s="77">
        <f t="shared" si="3"/>
        <v>22677552</v>
      </c>
      <c r="F25" s="623">
        <f>G25+H25</f>
        <v>56550138</v>
      </c>
      <c r="G25" s="623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624">
        <f>SUM(M25:AD25)</f>
        <v>6203520</v>
      </c>
      <c r="L25" s="77">
        <f>SUM(CZ25:DQ25)</f>
        <v>5889768</v>
      </c>
      <c r="M25" s="623">
        <f t="shared" ref="M25:AR25" si="4">SUM(M29:M134)</f>
        <v>308815</v>
      </c>
      <c r="N25" s="623">
        <f t="shared" si="4"/>
        <v>321378</v>
      </c>
      <c r="O25" s="623">
        <f t="shared" si="4"/>
        <v>333560</v>
      </c>
      <c r="P25" s="623">
        <f t="shared" si="4"/>
        <v>344089</v>
      </c>
      <c r="Q25" s="623">
        <f t="shared" si="4"/>
        <v>354452</v>
      </c>
      <c r="R25" s="623">
        <f t="shared" si="4"/>
        <v>353655</v>
      </c>
      <c r="S25" s="623">
        <f t="shared" si="4"/>
        <v>356004</v>
      </c>
      <c r="T25" s="623">
        <f t="shared" si="4"/>
        <v>363986</v>
      </c>
      <c r="U25" s="623">
        <f t="shared" si="4"/>
        <v>374129</v>
      </c>
      <c r="V25" s="623">
        <f t="shared" si="4"/>
        <v>366587</v>
      </c>
      <c r="W25" s="623">
        <f t="shared" si="4"/>
        <v>360144</v>
      </c>
      <c r="X25" s="623">
        <f t="shared" si="4"/>
        <v>355213</v>
      </c>
      <c r="Y25" s="623">
        <f t="shared" si="4"/>
        <v>358555</v>
      </c>
      <c r="Z25" s="623">
        <f t="shared" si="4"/>
        <v>347682</v>
      </c>
      <c r="AA25" s="623">
        <f t="shared" si="4"/>
        <v>340280</v>
      </c>
      <c r="AB25" s="623">
        <f t="shared" si="4"/>
        <v>327124</v>
      </c>
      <c r="AC25" s="623">
        <f t="shared" si="4"/>
        <v>322370</v>
      </c>
      <c r="AD25" s="623">
        <f t="shared" si="4"/>
        <v>315497</v>
      </c>
      <c r="AE25" s="623">
        <f t="shared" si="4"/>
        <v>312761</v>
      </c>
      <c r="AF25" s="623">
        <f t="shared" si="4"/>
        <v>323700</v>
      </c>
      <c r="AG25" s="623">
        <f t="shared" si="4"/>
        <v>337659</v>
      </c>
      <c r="AH25" s="623">
        <f t="shared" si="4"/>
        <v>350920</v>
      </c>
      <c r="AI25" s="623">
        <f t="shared" si="4"/>
        <v>358420</v>
      </c>
      <c r="AJ25" s="623">
        <f t="shared" si="4"/>
        <v>370801</v>
      </c>
      <c r="AK25" s="623">
        <f t="shared" si="4"/>
        <v>373901</v>
      </c>
      <c r="AL25" s="623">
        <f t="shared" si="4"/>
        <v>371883</v>
      </c>
      <c r="AM25" s="623">
        <f t="shared" si="4"/>
        <v>382502</v>
      </c>
      <c r="AN25" s="623">
        <f t="shared" si="4"/>
        <v>381754</v>
      </c>
      <c r="AO25" s="623">
        <f t="shared" si="4"/>
        <v>388663</v>
      </c>
      <c r="AP25" s="623">
        <f t="shared" si="4"/>
        <v>399614</v>
      </c>
      <c r="AQ25" s="623">
        <f t="shared" si="4"/>
        <v>392851</v>
      </c>
      <c r="AR25" s="623">
        <f t="shared" si="4"/>
        <v>384813</v>
      </c>
      <c r="AS25" s="623">
        <f t="shared" ref="AS25:BX25" si="5">SUM(AS29:AS134)</f>
        <v>385952</v>
      </c>
      <c r="AT25" s="623">
        <f t="shared" si="5"/>
        <v>372700</v>
      </c>
      <c r="AU25" s="623">
        <f t="shared" si="5"/>
        <v>380096</v>
      </c>
      <c r="AV25" s="623">
        <f t="shared" si="5"/>
        <v>378573</v>
      </c>
      <c r="AW25" s="623">
        <f t="shared" si="5"/>
        <v>367247</v>
      </c>
      <c r="AX25" s="623">
        <f t="shared" si="5"/>
        <v>369196</v>
      </c>
      <c r="AY25" s="623">
        <f t="shared" si="5"/>
        <v>367387</v>
      </c>
      <c r="AZ25" s="623">
        <f t="shared" si="5"/>
        <v>370566</v>
      </c>
      <c r="BA25" s="623">
        <f t="shared" si="5"/>
        <v>371661</v>
      </c>
      <c r="BB25" s="623">
        <f t="shared" si="5"/>
        <v>358524</v>
      </c>
      <c r="BC25" s="623">
        <f t="shared" si="5"/>
        <v>335609</v>
      </c>
      <c r="BD25" s="623">
        <f t="shared" si="5"/>
        <v>329766</v>
      </c>
      <c r="BE25" s="623">
        <f t="shared" si="5"/>
        <v>334708</v>
      </c>
      <c r="BF25" s="623">
        <f t="shared" si="5"/>
        <v>340715</v>
      </c>
      <c r="BG25" s="623">
        <f t="shared" si="5"/>
        <v>345236</v>
      </c>
      <c r="BH25" s="623">
        <f t="shared" si="5"/>
        <v>359601</v>
      </c>
      <c r="BI25" s="623">
        <f t="shared" si="5"/>
        <v>374360</v>
      </c>
      <c r="BJ25" s="623">
        <f t="shared" si="5"/>
        <v>383296</v>
      </c>
      <c r="BK25" s="623">
        <f t="shared" si="5"/>
        <v>374154</v>
      </c>
      <c r="BL25" s="623">
        <f t="shared" si="5"/>
        <v>382152</v>
      </c>
      <c r="BM25" s="623">
        <f t="shared" si="5"/>
        <v>381638</v>
      </c>
      <c r="BN25" s="623">
        <f t="shared" si="5"/>
        <v>388278</v>
      </c>
      <c r="BO25" s="623">
        <f t="shared" si="5"/>
        <v>385096</v>
      </c>
      <c r="BP25" s="623">
        <f t="shared" si="5"/>
        <v>386043</v>
      </c>
      <c r="BQ25" s="623">
        <f t="shared" si="5"/>
        <v>381939</v>
      </c>
      <c r="BR25" s="623">
        <f t="shared" si="5"/>
        <v>372235</v>
      </c>
      <c r="BS25" s="623">
        <f t="shared" si="5"/>
        <v>363185</v>
      </c>
      <c r="BT25" s="623">
        <f t="shared" si="5"/>
        <v>349191</v>
      </c>
      <c r="BU25" s="623">
        <f t="shared" si="5"/>
        <v>333011</v>
      </c>
      <c r="BV25" s="623">
        <f t="shared" si="5"/>
        <v>324227</v>
      </c>
      <c r="BW25" s="623">
        <f t="shared" si="5"/>
        <v>316683</v>
      </c>
      <c r="BX25" s="623">
        <f t="shared" si="5"/>
        <v>303232</v>
      </c>
      <c r="BY25" s="623">
        <f t="shared" ref="BY25:DD25" si="6">SUM(BY29:BY134)</f>
        <v>291336</v>
      </c>
      <c r="BZ25" s="623">
        <f t="shared" si="6"/>
        <v>278378</v>
      </c>
      <c r="CA25" s="623">
        <f t="shared" si="6"/>
        <v>276173</v>
      </c>
      <c r="CB25" s="623">
        <f t="shared" si="6"/>
        <v>271510</v>
      </c>
      <c r="CC25" s="623">
        <f t="shared" si="6"/>
        <v>260801</v>
      </c>
      <c r="CD25" s="623">
        <f t="shared" si="6"/>
        <v>260852</v>
      </c>
      <c r="CE25" s="623">
        <f t="shared" si="6"/>
        <v>263006</v>
      </c>
      <c r="CF25" s="623">
        <f t="shared" si="6"/>
        <v>268821</v>
      </c>
      <c r="CG25" s="623">
        <f t="shared" si="6"/>
        <v>280766</v>
      </c>
      <c r="CH25" s="623">
        <f t="shared" si="6"/>
        <v>302439</v>
      </c>
      <c r="CI25" s="623">
        <f t="shared" si="6"/>
        <v>228895</v>
      </c>
      <c r="CJ25" s="623">
        <f t="shared" si="6"/>
        <v>217830</v>
      </c>
      <c r="CK25" s="623">
        <f t="shared" si="6"/>
        <v>213013</v>
      </c>
      <c r="CL25" s="623">
        <f t="shared" si="6"/>
        <v>192013</v>
      </c>
      <c r="CM25" s="623">
        <f t="shared" si="6"/>
        <v>166567</v>
      </c>
      <c r="CN25" s="623">
        <f t="shared" si="6"/>
        <v>144651</v>
      </c>
      <c r="CO25" s="623">
        <f t="shared" si="6"/>
        <v>146189</v>
      </c>
      <c r="CP25" s="623">
        <f t="shared" si="6"/>
        <v>139908</v>
      </c>
      <c r="CQ25" s="623">
        <f t="shared" si="6"/>
        <v>130442</v>
      </c>
      <c r="CR25" s="623">
        <f t="shared" si="6"/>
        <v>118033</v>
      </c>
      <c r="CS25" s="623">
        <f t="shared" si="6"/>
        <v>105446</v>
      </c>
      <c r="CT25" s="623">
        <f t="shared" si="6"/>
        <v>93860</v>
      </c>
      <c r="CU25" s="623">
        <f t="shared" si="6"/>
        <v>80158</v>
      </c>
      <c r="CV25" s="623">
        <f t="shared" si="6"/>
        <v>69745</v>
      </c>
      <c r="CW25" s="623">
        <f t="shared" si="6"/>
        <v>60874</v>
      </c>
      <c r="CX25" s="623">
        <f t="shared" si="6"/>
        <v>51545</v>
      </c>
      <c r="CY25" s="623">
        <f t="shared" si="6"/>
        <v>169548</v>
      </c>
      <c r="CZ25" s="623">
        <f t="shared" si="6"/>
        <v>293098</v>
      </c>
      <c r="DA25" s="623">
        <f t="shared" si="6"/>
        <v>304098</v>
      </c>
      <c r="DB25" s="623">
        <f t="shared" si="6"/>
        <v>316666</v>
      </c>
      <c r="DC25" s="623">
        <f t="shared" si="6"/>
        <v>326927</v>
      </c>
      <c r="DD25" s="623">
        <f t="shared" si="6"/>
        <v>336364</v>
      </c>
      <c r="DE25" s="623">
        <f t="shared" ref="DE25:EJ25" si="7">SUM(DE29:DE134)</f>
        <v>335535</v>
      </c>
      <c r="DF25" s="623">
        <f t="shared" si="7"/>
        <v>338730</v>
      </c>
      <c r="DG25" s="623">
        <f t="shared" si="7"/>
        <v>345954</v>
      </c>
      <c r="DH25" s="623">
        <f t="shared" si="7"/>
        <v>356419</v>
      </c>
      <c r="DI25" s="623">
        <f t="shared" si="7"/>
        <v>348459</v>
      </c>
      <c r="DJ25" s="623">
        <f t="shared" si="7"/>
        <v>342943</v>
      </c>
      <c r="DK25" s="623">
        <f t="shared" si="7"/>
        <v>337660</v>
      </c>
      <c r="DL25" s="623">
        <f t="shared" si="7"/>
        <v>340266</v>
      </c>
      <c r="DM25" s="623">
        <f t="shared" si="7"/>
        <v>329091</v>
      </c>
      <c r="DN25" s="623">
        <f t="shared" si="7"/>
        <v>323745</v>
      </c>
      <c r="DO25" s="623">
        <f t="shared" si="7"/>
        <v>310632</v>
      </c>
      <c r="DP25" s="623">
        <f t="shared" si="7"/>
        <v>305653</v>
      </c>
      <c r="DQ25" s="623">
        <f t="shared" si="7"/>
        <v>297528</v>
      </c>
      <c r="DR25" s="623">
        <f t="shared" si="7"/>
        <v>293850</v>
      </c>
      <c r="DS25" s="623">
        <f t="shared" si="7"/>
        <v>306756</v>
      </c>
      <c r="DT25" s="623">
        <f t="shared" si="7"/>
        <v>315496</v>
      </c>
      <c r="DU25" s="623">
        <f t="shared" si="7"/>
        <v>328567</v>
      </c>
      <c r="DV25" s="623">
        <f t="shared" si="7"/>
        <v>335796</v>
      </c>
      <c r="DW25" s="623">
        <f t="shared" si="7"/>
        <v>349599</v>
      </c>
      <c r="DX25" s="623">
        <f t="shared" si="7"/>
        <v>351363</v>
      </c>
      <c r="DY25" s="623">
        <f t="shared" si="7"/>
        <v>353228</v>
      </c>
      <c r="DZ25" s="623">
        <f t="shared" si="7"/>
        <v>363407</v>
      </c>
      <c r="EA25" s="623">
        <f t="shared" si="7"/>
        <v>365436</v>
      </c>
      <c r="EB25" s="623">
        <f t="shared" si="7"/>
        <v>379850</v>
      </c>
      <c r="EC25" s="623">
        <f t="shared" si="7"/>
        <v>385156</v>
      </c>
      <c r="ED25" s="623">
        <f t="shared" si="7"/>
        <v>379113</v>
      </c>
      <c r="EE25" s="623">
        <f t="shared" si="7"/>
        <v>379925</v>
      </c>
      <c r="EF25" s="623">
        <f t="shared" si="7"/>
        <v>387224</v>
      </c>
      <c r="EG25" s="623">
        <f t="shared" si="7"/>
        <v>381253</v>
      </c>
      <c r="EH25" s="623">
        <f t="shared" si="7"/>
        <v>380725</v>
      </c>
      <c r="EI25" s="623">
        <f t="shared" si="7"/>
        <v>380382</v>
      </c>
      <c r="EJ25" s="623">
        <f t="shared" si="7"/>
        <v>373787</v>
      </c>
      <c r="EK25" s="623">
        <f t="shared" ref="EK25:FP25" si="8">SUM(EK29:EK134)</f>
        <v>376713</v>
      </c>
      <c r="EL25" s="623">
        <f t="shared" si="8"/>
        <v>376427</v>
      </c>
      <c r="EM25" s="623">
        <f t="shared" si="8"/>
        <v>377931</v>
      </c>
      <c r="EN25" s="623">
        <f t="shared" si="8"/>
        <v>378222</v>
      </c>
      <c r="EO25" s="623">
        <f t="shared" si="8"/>
        <v>361624</v>
      </c>
      <c r="EP25" s="623">
        <f t="shared" si="8"/>
        <v>336647</v>
      </c>
      <c r="EQ25" s="623">
        <f t="shared" si="8"/>
        <v>331442</v>
      </c>
      <c r="ER25" s="623">
        <f t="shared" si="8"/>
        <v>338100</v>
      </c>
      <c r="ES25" s="623">
        <f t="shared" si="8"/>
        <v>344586</v>
      </c>
      <c r="ET25" s="623">
        <f t="shared" si="8"/>
        <v>350995</v>
      </c>
      <c r="EU25" s="623">
        <f t="shared" si="8"/>
        <v>365074</v>
      </c>
      <c r="EV25" s="623">
        <f t="shared" si="8"/>
        <v>380075</v>
      </c>
      <c r="EW25" s="623">
        <f t="shared" si="8"/>
        <v>394701</v>
      </c>
      <c r="EX25" s="623">
        <f t="shared" si="8"/>
        <v>384751</v>
      </c>
      <c r="EY25" s="623">
        <f t="shared" si="8"/>
        <v>393563</v>
      </c>
      <c r="EZ25" s="623">
        <f t="shared" si="8"/>
        <v>392445</v>
      </c>
      <c r="FA25" s="623">
        <f t="shared" si="8"/>
        <v>395838</v>
      </c>
      <c r="FB25" s="623">
        <f t="shared" si="8"/>
        <v>397436</v>
      </c>
      <c r="FC25" s="623">
        <f t="shared" si="8"/>
        <v>398256</v>
      </c>
      <c r="FD25" s="623">
        <f t="shared" si="8"/>
        <v>393381</v>
      </c>
      <c r="FE25" s="623">
        <f t="shared" si="8"/>
        <v>383788</v>
      </c>
      <c r="FF25" s="623">
        <f t="shared" si="8"/>
        <v>373754</v>
      </c>
      <c r="FG25" s="623">
        <f t="shared" si="8"/>
        <v>360010</v>
      </c>
      <c r="FH25" s="623">
        <f t="shared" si="8"/>
        <v>344951</v>
      </c>
      <c r="FI25" s="623">
        <f t="shared" si="8"/>
        <v>336192</v>
      </c>
      <c r="FJ25" s="623">
        <f t="shared" si="8"/>
        <v>328213</v>
      </c>
      <c r="FK25" s="623">
        <f t="shared" si="8"/>
        <v>315661</v>
      </c>
      <c r="FL25" s="623">
        <f t="shared" si="8"/>
        <v>303307</v>
      </c>
      <c r="FM25" s="623">
        <f t="shared" si="8"/>
        <v>292765</v>
      </c>
      <c r="FN25" s="623">
        <f t="shared" si="8"/>
        <v>293735</v>
      </c>
      <c r="FO25" s="623">
        <f t="shared" si="8"/>
        <v>288334</v>
      </c>
      <c r="FP25" s="623">
        <f t="shared" si="8"/>
        <v>280496</v>
      </c>
      <c r="FQ25" s="623">
        <f t="shared" ref="FQ25:GL25" si="9">SUM(FQ29:FQ134)</f>
        <v>281256</v>
      </c>
      <c r="FR25" s="623">
        <f t="shared" si="9"/>
        <v>287053</v>
      </c>
      <c r="FS25" s="623">
        <f t="shared" si="9"/>
        <v>291941</v>
      </c>
      <c r="FT25" s="623">
        <f t="shared" si="9"/>
        <v>307142</v>
      </c>
      <c r="FU25" s="623">
        <f t="shared" si="9"/>
        <v>330413</v>
      </c>
      <c r="FV25" s="623">
        <f t="shared" si="9"/>
        <v>253652</v>
      </c>
      <c r="FW25" s="623">
        <f t="shared" si="9"/>
        <v>244025</v>
      </c>
      <c r="FX25" s="623">
        <f t="shared" si="9"/>
        <v>240429</v>
      </c>
      <c r="FY25" s="623">
        <f t="shared" si="9"/>
        <v>221693</v>
      </c>
      <c r="FZ25" s="623">
        <f t="shared" si="9"/>
        <v>195845</v>
      </c>
      <c r="GA25" s="623">
        <f t="shared" si="9"/>
        <v>173926</v>
      </c>
      <c r="GB25" s="623">
        <f t="shared" si="9"/>
        <v>177589</v>
      </c>
      <c r="GC25" s="623">
        <f t="shared" si="9"/>
        <v>173173</v>
      </c>
      <c r="GD25" s="623">
        <f t="shared" si="9"/>
        <v>164396</v>
      </c>
      <c r="GE25" s="623">
        <f t="shared" si="9"/>
        <v>153030</v>
      </c>
      <c r="GF25" s="623">
        <f t="shared" si="9"/>
        <v>140983</v>
      </c>
      <c r="GG25" s="623">
        <f t="shared" si="9"/>
        <v>129198</v>
      </c>
      <c r="GH25" s="623">
        <f t="shared" si="9"/>
        <v>114852</v>
      </c>
      <c r="GI25" s="623">
        <f t="shared" si="9"/>
        <v>104116</v>
      </c>
      <c r="GJ25" s="623">
        <f t="shared" si="9"/>
        <v>95623</v>
      </c>
      <c r="GK25" s="623">
        <f t="shared" si="9"/>
        <v>85372</v>
      </c>
      <c r="GL25" s="623">
        <f t="shared" si="9"/>
        <v>351519</v>
      </c>
    </row>
    <row r="26" spans="1:194" s="8" customFormat="1">
      <c r="A26" s="32" t="s">
        <v>43</v>
      </c>
      <c r="B26" s="78" t="s">
        <v>286</v>
      </c>
      <c r="C26" s="33" t="s">
        <v>287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>
      <c r="A27" s="38" t="s">
        <v>43</v>
      </c>
      <c r="B27" s="79" t="s">
        <v>288</v>
      </c>
      <c r="C27" s="39" t="s">
        <v>289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>
      <c r="A29" s="86" t="s">
        <v>271</v>
      </c>
      <c r="B29" s="148" t="s">
        <v>290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625">
        <f>G29+H29</f>
        <v>248071</v>
      </c>
      <c r="G29" s="625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626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>
      <c r="A30" s="90" t="s">
        <v>271</v>
      </c>
      <c r="B30" s="148" t="s">
        <v>291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>
      <c r="A31" s="90" t="s">
        <v>271</v>
      </c>
      <c r="B31" s="148" t="s">
        <v>292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>
      <c r="A32" s="90" t="s">
        <v>271</v>
      </c>
      <c r="B32" s="148" t="s">
        <v>293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>
      <c r="A33" s="90" t="s">
        <v>271</v>
      </c>
      <c r="B33" s="148" t="s">
        <v>294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>
      <c r="A34" s="90" t="s">
        <v>271</v>
      </c>
      <c r="B34" s="148" t="s">
        <v>295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>
      <c r="A35" s="90" t="s">
        <v>271</v>
      </c>
      <c r="B35" s="148" t="s">
        <v>296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>
      <c r="A36" s="90" t="s">
        <v>271</v>
      </c>
      <c r="B36" s="148" t="s">
        <v>297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>
      <c r="A37" s="90" t="s">
        <v>271</v>
      </c>
      <c r="B37" s="148" t="s">
        <v>298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>
      <c r="A38" s="90" t="s">
        <v>271</v>
      </c>
      <c r="B38" s="148" t="s">
        <v>299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>
      <c r="A39" s="90" t="s">
        <v>271</v>
      </c>
      <c r="B39" s="148" t="s">
        <v>300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>
      <c r="A40" s="90" t="s">
        <v>271</v>
      </c>
      <c r="B40" s="148" t="s">
        <v>301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>
      <c r="A41" s="90" t="s">
        <v>271</v>
      </c>
      <c r="B41" s="148" t="s">
        <v>302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>
      <c r="A42" s="90" t="s">
        <v>271</v>
      </c>
      <c r="B42" s="148" t="s">
        <v>303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>
      <c r="A43" s="90" t="s">
        <v>271</v>
      </c>
      <c r="B43" s="148" t="s">
        <v>304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>
      <c r="A44" s="90" t="s">
        <v>271</v>
      </c>
      <c r="B44" s="148" t="s">
        <v>305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>
      <c r="A45" s="90" t="s">
        <v>271</v>
      </c>
      <c r="B45" s="148" t="s">
        <v>306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>
      <c r="A46" s="90" t="s">
        <v>271</v>
      </c>
      <c r="B46" s="148" t="s">
        <v>307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>
      <c r="A47" s="90" t="s">
        <v>271</v>
      </c>
      <c r="B47" s="148" t="s">
        <v>308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>
      <c r="A48" s="90" t="s">
        <v>271</v>
      </c>
      <c r="B48" s="148" t="s">
        <v>309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>
      <c r="A49" s="90" t="s">
        <v>271</v>
      </c>
      <c r="B49" s="148" t="s">
        <v>310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>
      <c r="A50" s="90" t="s">
        <v>271</v>
      </c>
      <c r="B50" s="148" t="s">
        <v>311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>
      <c r="A51" s="90" t="s">
        <v>271</v>
      </c>
      <c r="B51" s="148" t="s">
        <v>312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>
      <c r="A52" s="90" t="s">
        <v>271</v>
      </c>
      <c r="B52" s="148" t="s">
        <v>313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>
      <c r="A53" s="90" t="s">
        <v>271</v>
      </c>
      <c r="B53" s="148" t="s">
        <v>314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>
      <c r="A54" s="90" t="s">
        <v>271</v>
      </c>
      <c r="B54" s="148" t="s">
        <v>315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>
      <c r="A55" s="90" t="s">
        <v>271</v>
      </c>
      <c r="B55" s="148" t="s">
        <v>316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>
      <c r="A56" s="90" t="s">
        <v>271</v>
      </c>
      <c r="B56" s="148" t="s">
        <v>317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>
      <c r="A57" s="90" t="s">
        <v>271</v>
      </c>
      <c r="B57" s="148" t="s">
        <v>318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>
      <c r="A58" s="90" t="s">
        <v>271</v>
      </c>
      <c r="B58" s="148" t="s">
        <v>319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>
      <c r="A59" s="90" t="s">
        <v>271</v>
      </c>
      <c r="B59" s="148" t="s">
        <v>320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>
      <c r="A60" s="90" t="s">
        <v>271</v>
      </c>
      <c r="B60" s="148" t="s">
        <v>321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>
      <c r="A61" s="90" t="s">
        <v>271</v>
      </c>
      <c r="B61" s="148" t="s">
        <v>322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>
      <c r="A62" s="90" t="s">
        <v>271</v>
      </c>
      <c r="B62" s="148" t="s">
        <v>323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>
      <c r="A63" s="90" t="s">
        <v>271</v>
      </c>
      <c r="B63" s="148" t="s">
        <v>324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>
      <c r="A64" s="90" t="s">
        <v>271</v>
      </c>
      <c r="B64" s="148" t="s">
        <v>325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>
      <c r="A65" s="90" t="s">
        <v>271</v>
      </c>
      <c r="B65" s="148" t="s">
        <v>326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>
      <c r="A66" s="90" t="s">
        <v>271</v>
      </c>
      <c r="B66" s="148" t="s">
        <v>327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>
      <c r="A67" s="90" t="s">
        <v>271</v>
      </c>
      <c r="B67" s="148" t="s">
        <v>328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>
      <c r="A68" s="90" t="s">
        <v>271</v>
      </c>
      <c r="B68" s="148" t="s">
        <v>329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>
      <c r="A69" s="90" t="s">
        <v>271</v>
      </c>
      <c r="B69" s="148" t="s">
        <v>330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>
      <c r="A70" s="90" t="s">
        <v>271</v>
      </c>
      <c r="B70" s="148" t="s">
        <v>331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>
      <c r="A71" s="90" t="s">
        <v>271</v>
      </c>
      <c r="B71" s="148" t="s">
        <v>332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>
      <c r="A72" s="90" t="s">
        <v>271</v>
      </c>
      <c r="B72" s="148" t="s">
        <v>333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>
      <c r="A73" s="90" t="s">
        <v>271</v>
      </c>
      <c r="B73" s="148" t="s">
        <v>334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>
      <c r="A74" s="90" t="s">
        <v>271</v>
      </c>
      <c r="B74" s="148" t="s">
        <v>335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>
      <c r="A75" s="90" t="s">
        <v>271</v>
      </c>
      <c r="B75" s="148" t="s">
        <v>336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>
      <c r="A76" s="90" t="s">
        <v>271</v>
      </c>
      <c r="B76" s="148" t="s">
        <v>337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>
      <c r="A77" s="90" t="s">
        <v>271</v>
      </c>
      <c r="B77" s="148" t="s">
        <v>338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>
      <c r="A78" s="90" t="s">
        <v>271</v>
      </c>
      <c r="B78" s="148" t="s">
        <v>339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>
      <c r="A79" s="90" t="s">
        <v>271</v>
      </c>
      <c r="B79" s="148" t="s">
        <v>340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>
      <c r="A80" s="90" t="s">
        <v>271</v>
      </c>
      <c r="B80" s="148" t="s">
        <v>341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>
      <c r="A81" s="90" t="s">
        <v>271</v>
      </c>
      <c r="B81" s="148" t="s">
        <v>342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>
      <c r="A82" s="90" t="s">
        <v>271</v>
      </c>
      <c r="B82" s="148" t="s">
        <v>343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>
      <c r="A83" s="90" t="s">
        <v>271</v>
      </c>
      <c r="B83" s="148" t="s">
        <v>344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>
      <c r="A84" s="90" t="s">
        <v>271</v>
      </c>
      <c r="B84" s="148" t="s">
        <v>345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>
      <c r="A85" s="90" t="s">
        <v>271</v>
      </c>
      <c r="B85" s="148" t="s">
        <v>346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>
      <c r="A86" s="90" t="s">
        <v>271</v>
      </c>
      <c r="B86" s="148" t="s">
        <v>347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>
      <c r="A87" s="90" t="s">
        <v>271</v>
      </c>
      <c r="B87" s="148" t="s">
        <v>348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>
      <c r="A88" s="90" t="s">
        <v>271</v>
      </c>
      <c r="B88" s="148" t="s">
        <v>349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>
      <c r="A89" s="90" t="s">
        <v>271</v>
      </c>
      <c r="B89" s="148" t="s">
        <v>350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>
      <c r="A90" s="90" t="s">
        <v>271</v>
      </c>
      <c r="B90" s="148" t="s">
        <v>351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>
      <c r="A91" s="90" t="s">
        <v>271</v>
      </c>
      <c r="B91" s="148" t="s">
        <v>352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>
      <c r="A92" s="90" t="s">
        <v>271</v>
      </c>
      <c r="B92" s="148" t="s">
        <v>353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>
      <c r="A93" s="90" t="s">
        <v>271</v>
      </c>
      <c r="B93" s="148" t="s">
        <v>354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>
      <c r="A94" s="90" t="s">
        <v>271</v>
      </c>
      <c r="B94" s="148" t="s">
        <v>355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>
      <c r="A95" s="90" t="s">
        <v>271</v>
      </c>
      <c r="B95" s="148" t="s">
        <v>356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>
      <c r="A96" s="90" t="s">
        <v>271</v>
      </c>
      <c r="B96" s="148" t="s">
        <v>357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>
      <c r="A97" s="90" t="s">
        <v>271</v>
      </c>
      <c r="B97" s="148" t="s">
        <v>358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>
      <c r="A98" s="90" t="s">
        <v>271</v>
      </c>
      <c r="B98" s="148" t="s">
        <v>359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>
      <c r="A99" s="90" t="s">
        <v>271</v>
      </c>
      <c r="B99" s="148" t="s">
        <v>360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>
      <c r="A100" s="90" t="s">
        <v>271</v>
      </c>
      <c r="B100" s="148" t="s">
        <v>361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>
      <c r="A101" s="90" t="s">
        <v>271</v>
      </c>
      <c r="B101" s="148" t="s">
        <v>362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>
      <c r="A102" s="90" t="s">
        <v>271</v>
      </c>
      <c r="B102" s="148" t="s">
        <v>363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>
      <c r="A103" s="90" t="s">
        <v>271</v>
      </c>
      <c r="B103" s="148" t="s">
        <v>364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>
      <c r="A104" s="90" t="s">
        <v>271</v>
      </c>
      <c r="B104" s="148" t="s">
        <v>365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>
      <c r="A105" s="90" t="s">
        <v>271</v>
      </c>
      <c r="B105" s="148" t="s">
        <v>366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>
      <c r="A106" s="90" t="s">
        <v>271</v>
      </c>
      <c r="B106" s="148" t="s">
        <v>367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>
      <c r="A107" s="90" t="s">
        <v>271</v>
      </c>
      <c r="B107" s="148" t="s">
        <v>368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>
      <c r="A108" s="90" t="s">
        <v>271</v>
      </c>
      <c r="B108" s="148" t="s">
        <v>369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>
      <c r="A109" s="90" t="s">
        <v>271</v>
      </c>
      <c r="B109" s="148" t="s">
        <v>370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>
      <c r="A110" s="90" t="s">
        <v>271</v>
      </c>
      <c r="B110" s="148" t="s">
        <v>371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>
      <c r="A111" s="90" t="s">
        <v>271</v>
      </c>
      <c r="B111" s="148" t="s">
        <v>372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>
      <c r="A112" s="90" t="s">
        <v>271</v>
      </c>
      <c r="B112" s="148" t="s">
        <v>373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>
      <c r="A113" s="90" t="s">
        <v>271</v>
      </c>
      <c r="B113" s="148" t="s">
        <v>374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>
      <c r="A114" s="90" t="s">
        <v>271</v>
      </c>
      <c r="B114" s="148" t="s">
        <v>375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>
      <c r="A115" s="90" t="s">
        <v>271</v>
      </c>
      <c r="B115" s="148" t="s">
        <v>376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>
      <c r="A116" s="90" t="s">
        <v>271</v>
      </c>
      <c r="B116" s="148" t="s">
        <v>377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>
      <c r="A117" s="90" t="s">
        <v>271</v>
      </c>
      <c r="B117" s="148" t="s">
        <v>378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>
      <c r="A118" s="90" t="s">
        <v>271</v>
      </c>
      <c r="B118" s="148" t="s">
        <v>379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>
      <c r="A119" s="90" t="s">
        <v>271</v>
      </c>
      <c r="B119" s="148" t="s">
        <v>380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>
      <c r="A120" s="90" t="s">
        <v>271</v>
      </c>
      <c r="B120" s="148" t="s">
        <v>381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>
      <c r="A121" s="90" t="s">
        <v>271</v>
      </c>
      <c r="B121" s="148" t="s">
        <v>382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>
      <c r="A122" s="90" t="s">
        <v>271</v>
      </c>
      <c r="B122" s="148" t="s">
        <v>383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>
      <c r="A123" s="90" t="s">
        <v>271</v>
      </c>
      <c r="B123" s="148" t="s">
        <v>384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>
      <c r="A124" s="90" t="s">
        <v>271</v>
      </c>
      <c r="B124" s="148" t="s">
        <v>385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>
      <c r="A125" s="90" t="s">
        <v>271</v>
      </c>
      <c r="B125" s="148" t="s">
        <v>386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>
      <c r="A126" s="90" t="s">
        <v>271</v>
      </c>
      <c r="B126" s="148" t="s">
        <v>387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>
      <c r="A127" s="90" t="s">
        <v>271</v>
      </c>
      <c r="B127" s="148" t="s">
        <v>388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>
      <c r="A128" s="90" t="s">
        <v>271</v>
      </c>
      <c r="B128" s="148" t="s">
        <v>389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>
      <c r="A129" s="90" t="s">
        <v>271</v>
      </c>
      <c r="B129" s="148" t="s">
        <v>390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>
      <c r="A130" s="90" t="s">
        <v>271</v>
      </c>
      <c r="B130" s="148" t="s">
        <v>391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>
      <c r="A131" s="90" t="s">
        <v>271</v>
      </c>
      <c r="B131" s="148" t="s">
        <v>392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>
      <c r="A132" s="90" t="s">
        <v>271</v>
      </c>
      <c r="B132" s="148" t="s">
        <v>393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>
      <c r="A133" s="90" t="s">
        <v>271</v>
      </c>
      <c r="B133" s="148" t="s">
        <v>394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>
      <c r="A134" s="90" t="s">
        <v>271</v>
      </c>
      <c r="B134" s="148" t="s">
        <v>395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idden="1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>
      <c r="A136" s="54" t="s">
        <v>251</v>
      </c>
      <c r="B136" s="108" t="s">
        <v>396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>
      <c r="A137" s="54" t="s">
        <v>251</v>
      </c>
      <c r="B137" s="109" t="s">
        <v>397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>
      <c r="A138" s="54" t="s">
        <v>251</v>
      </c>
      <c r="B138" s="109" t="s">
        <v>398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>
      <c r="A139" s="54" t="s">
        <v>251</v>
      </c>
      <c r="B139" s="109" t="s">
        <v>399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>
      <c r="A140" s="54" t="s">
        <v>251</v>
      </c>
      <c r="B140" s="109" t="s">
        <v>400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>
      <c r="A141" s="54" t="s">
        <v>251</v>
      </c>
      <c r="B141" s="109" t="s">
        <v>401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>
      <c r="A142" s="55" t="s">
        <v>251</v>
      </c>
      <c r="B142" s="107" t="s">
        <v>402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idden="1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>
      <c r="A144" s="59" t="s">
        <v>254</v>
      </c>
      <c r="B144" s="108" t="s">
        <v>403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625">
        <f>G144+H144</f>
        <v>359230</v>
      </c>
      <c r="G144" s="625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626">
        <f>SUM(M144:AD144)</f>
        <v>39808</v>
      </c>
      <c r="L144" s="61">
        <f>SUM(CZ144:DQ144)</f>
        <v>37698</v>
      </c>
      <c r="M144" s="626">
        <v>2188</v>
      </c>
      <c r="N144" s="626">
        <v>2204</v>
      </c>
      <c r="O144" s="626">
        <v>2116</v>
      </c>
      <c r="P144" s="626">
        <v>2337</v>
      </c>
      <c r="Q144" s="626">
        <v>2365</v>
      </c>
      <c r="R144" s="626">
        <v>2267</v>
      </c>
      <c r="S144" s="626">
        <v>2292</v>
      </c>
      <c r="T144" s="626">
        <v>2232</v>
      </c>
      <c r="U144" s="626">
        <v>2440</v>
      </c>
      <c r="V144" s="626">
        <v>2370</v>
      </c>
      <c r="W144" s="626">
        <v>2222</v>
      </c>
      <c r="X144" s="626">
        <v>2322</v>
      </c>
      <c r="Y144" s="626">
        <v>2265</v>
      </c>
      <c r="Z144" s="626">
        <v>2135</v>
      </c>
      <c r="AA144" s="626">
        <v>2055</v>
      </c>
      <c r="AB144" s="626">
        <v>2008</v>
      </c>
      <c r="AC144" s="626">
        <v>2031</v>
      </c>
      <c r="AD144" s="626">
        <v>1959</v>
      </c>
      <c r="AE144" s="626">
        <v>1985</v>
      </c>
      <c r="AF144" s="626">
        <v>2475</v>
      </c>
      <c r="AG144" s="626">
        <v>2910</v>
      </c>
      <c r="AH144" s="626">
        <v>3177</v>
      </c>
      <c r="AI144" s="626">
        <v>3010</v>
      </c>
      <c r="AJ144" s="626">
        <v>2832</v>
      </c>
      <c r="AK144" s="626">
        <v>2591</v>
      </c>
      <c r="AL144" s="626">
        <v>2463</v>
      </c>
      <c r="AM144" s="626">
        <v>2555</v>
      </c>
      <c r="AN144" s="626">
        <v>2521</v>
      </c>
      <c r="AO144" s="626">
        <v>2916</v>
      </c>
      <c r="AP144" s="626">
        <v>2858</v>
      </c>
      <c r="AQ144" s="626">
        <v>2683</v>
      </c>
      <c r="AR144" s="626">
        <v>2646</v>
      </c>
      <c r="AS144" s="626">
        <v>2741</v>
      </c>
      <c r="AT144" s="626">
        <v>2785</v>
      </c>
      <c r="AU144" s="626">
        <v>2793</v>
      </c>
      <c r="AV144" s="626">
        <v>2667</v>
      </c>
      <c r="AW144" s="626">
        <v>2498</v>
      </c>
      <c r="AX144" s="626">
        <v>2474</v>
      </c>
      <c r="AY144" s="626">
        <v>2374</v>
      </c>
      <c r="AZ144" s="626">
        <v>2374</v>
      </c>
      <c r="BA144" s="626">
        <v>2327</v>
      </c>
      <c r="BB144" s="626">
        <v>2224</v>
      </c>
      <c r="BC144" s="626">
        <v>2023</v>
      </c>
      <c r="BD144" s="626">
        <v>2044</v>
      </c>
      <c r="BE144" s="626">
        <v>2090</v>
      </c>
      <c r="BF144" s="626">
        <v>2126</v>
      </c>
      <c r="BG144" s="626">
        <v>2064</v>
      </c>
      <c r="BH144" s="626">
        <v>2068</v>
      </c>
      <c r="BI144" s="626">
        <v>2125</v>
      </c>
      <c r="BJ144" s="626">
        <v>2113</v>
      </c>
      <c r="BK144" s="626">
        <v>2124</v>
      </c>
      <c r="BL144" s="626">
        <v>2090</v>
      </c>
      <c r="BM144" s="626">
        <v>2250</v>
      </c>
      <c r="BN144" s="626">
        <v>2262</v>
      </c>
      <c r="BO144" s="626">
        <v>2271</v>
      </c>
      <c r="BP144" s="626">
        <v>2263</v>
      </c>
      <c r="BQ144" s="626">
        <v>2271</v>
      </c>
      <c r="BR144" s="626">
        <v>2191</v>
      </c>
      <c r="BS144" s="626">
        <v>2134</v>
      </c>
      <c r="BT144" s="626">
        <v>2174</v>
      </c>
      <c r="BU144" s="626">
        <v>2044</v>
      </c>
      <c r="BV144" s="626">
        <v>1945</v>
      </c>
      <c r="BW144" s="626">
        <v>1931</v>
      </c>
      <c r="BX144" s="626">
        <v>1779</v>
      </c>
      <c r="BY144" s="626">
        <v>1701</v>
      </c>
      <c r="BZ144" s="626">
        <v>1598</v>
      </c>
      <c r="CA144" s="626">
        <v>1578</v>
      </c>
      <c r="CB144" s="626">
        <v>1495</v>
      </c>
      <c r="CC144" s="626">
        <v>1386</v>
      </c>
      <c r="CD144" s="626">
        <v>1352</v>
      </c>
      <c r="CE144" s="626">
        <v>1265</v>
      </c>
      <c r="CF144" s="626">
        <v>1271</v>
      </c>
      <c r="CG144" s="626">
        <v>1213</v>
      </c>
      <c r="CH144" s="626">
        <v>1158</v>
      </c>
      <c r="CI144" s="626">
        <v>1088</v>
      </c>
      <c r="CJ144" s="626">
        <v>1062</v>
      </c>
      <c r="CK144" s="626">
        <v>1077</v>
      </c>
      <c r="CL144" s="626">
        <v>1031</v>
      </c>
      <c r="CM144" s="626">
        <v>947</v>
      </c>
      <c r="CN144" s="626">
        <v>777</v>
      </c>
      <c r="CO144" s="626">
        <v>722</v>
      </c>
      <c r="CP144" s="626">
        <v>736</v>
      </c>
      <c r="CQ144" s="626">
        <v>661</v>
      </c>
      <c r="CR144" s="626">
        <v>618</v>
      </c>
      <c r="CS144" s="626">
        <v>516</v>
      </c>
      <c r="CT144" s="626">
        <v>470</v>
      </c>
      <c r="CU144" s="626">
        <v>440</v>
      </c>
      <c r="CV144" s="626">
        <v>382</v>
      </c>
      <c r="CW144" s="626">
        <v>306</v>
      </c>
      <c r="CX144" s="626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>
      <c r="A145" s="59" t="s">
        <v>254</v>
      </c>
      <c r="B145" s="109" t="s">
        <v>404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>
      <c r="A146" s="59" t="s">
        <v>254</v>
      </c>
      <c r="B146" s="109" t="s">
        <v>405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>
      <c r="A147" s="59" t="s">
        <v>254</v>
      </c>
      <c r="B147" s="109" t="s">
        <v>406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>
      <c r="A148" s="63" t="s">
        <v>254</v>
      </c>
      <c r="B148" s="107" t="s">
        <v>407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idden="1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>
      <c r="A150" s="73" t="s">
        <v>249</v>
      </c>
      <c r="B150" s="110" t="s">
        <v>408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625">
        <f t="shared" ref="F150:F156" si="48">G150+H150</f>
        <v>6563018</v>
      </c>
      <c r="G150" s="625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626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>
      <c r="A151" s="64" t="s">
        <v>249</v>
      </c>
      <c r="B151" s="110" t="s">
        <v>409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>
      <c r="A152" s="64" t="s">
        <v>249</v>
      </c>
      <c r="B152" s="110" t="s">
        <v>410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>
      <c r="A153" s="64" t="s">
        <v>249</v>
      </c>
      <c r="B153" s="110" t="s">
        <v>411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>
      <c r="A154" s="64" t="s">
        <v>249</v>
      </c>
      <c r="B154" s="110" t="s">
        <v>412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>
      <c r="A155" s="64" t="s">
        <v>249</v>
      </c>
      <c r="B155" s="110" t="s">
        <v>413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>
      <c r="A156" s="156" t="s">
        <v>249</v>
      </c>
      <c r="B156" s="110" t="s">
        <v>414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idden="1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624"/>
      <c r="O157" s="624"/>
      <c r="P157" s="624"/>
      <c r="Q157" s="624"/>
      <c r="R157" s="624"/>
      <c r="S157" s="624"/>
      <c r="T157" s="624"/>
      <c r="U157" s="624"/>
      <c r="V157" s="624"/>
      <c r="W157" s="624"/>
      <c r="X157" s="624"/>
      <c r="Y157" s="624"/>
      <c r="Z157" s="624"/>
      <c r="AA157" s="624"/>
      <c r="AB157" s="624"/>
      <c r="AC157" s="624"/>
      <c r="AD157" s="624"/>
      <c r="AE157" s="624"/>
      <c r="AF157" s="624"/>
      <c r="AG157" s="624"/>
      <c r="AH157" s="624"/>
      <c r="AI157" s="624"/>
      <c r="AJ157" s="624"/>
      <c r="AK157" s="624"/>
      <c r="AL157" s="624"/>
      <c r="AM157" s="624"/>
      <c r="AN157" s="624"/>
      <c r="AO157" s="624"/>
      <c r="AP157" s="624"/>
      <c r="AQ157" s="624"/>
      <c r="AR157" s="624"/>
      <c r="AS157" s="624"/>
      <c r="AT157" s="624"/>
      <c r="AU157" s="624"/>
      <c r="AV157" s="624"/>
      <c r="AW157" s="624"/>
      <c r="AX157" s="624"/>
      <c r="AY157" s="624"/>
      <c r="AZ157" s="624"/>
      <c r="BA157" s="624"/>
      <c r="BB157" s="624"/>
      <c r="BC157" s="624"/>
      <c r="BD157" s="624"/>
      <c r="BE157" s="624"/>
      <c r="BF157" s="624"/>
      <c r="BG157" s="624"/>
      <c r="BH157" s="624"/>
      <c r="BI157" s="624"/>
      <c r="BJ157" s="624"/>
      <c r="BK157" s="624"/>
      <c r="BL157" s="624"/>
      <c r="BM157" s="624"/>
      <c r="BN157" s="624"/>
      <c r="BO157" s="624"/>
      <c r="BP157" s="624"/>
      <c r="BQ157" s="624"/>
      <c r="BR157" s="624"/>
      <c r="BS157" s="624"/>
      <c r="BT157" s="624"/>
      <c r="BU157" s="624"/>
      <c r="BV157" s="624"/>
      <c r="BW157" s="624"/>
      <c r="BX157" s="624"/>
      <c r="BY157" s="624"/>
      <c r="BZ157" s="624"/>
      <c r="CA157" s="624"/>
      <c r="CB157" s="624"/>
      <c r="CC157" s="624"/>
      <c r="CD157" s="624"/>
      <c r="CE157" s="624"/>
      <c r="CF157" s="624"/>
      <c r="CG157" s="624"/>
      <c r="CH157" s="624"/>
      <c r="CI157" s="624"/>
      <c r="CJ157" s="624"/>
      <c r="CK157" s="624"/>
      <c r="CL157" s="624"/>
      <c r="CM157" s="624"/>
      <c r="CN157" s="624"/>
      <c r="CO157" s="624"/>
      <c r="CP157" s="624"/>
      <c r="CQ157" s="624"/>
      <c r="CR157" s="624"/>
      <c r="CS157" s="624"/>
      <c r="CT157" s="624"/>
      <c r="CU157" s="624"/>
      <c r="CV157" s="624"/>
      <c r="CW157" s="624"/>
      <c r="CX157" s="624"/>
      <c r="CY157" s="77"/>
      <c r="CZ157" s="132"/>
      <c r="DA157" s="624"/>
      <c r="DB157" s="624"/>
      <c r="DC157" s="624"/>
      <c r="DD157" s="624"/>
      <c r="DE157" s="624"/>
      <c r="DF157" s="624"/>
      <c r="DG157" s="624"/>
      <c r="DH157" s="624"/>
      <c r="DI157" s="624"/>
      <c r="DJ157" s="624"/>
      <c r="DK157" s="624"/>
      <c r="DL157" s="624"/>
      <c r="DM157" s="624"/>
      <c r="DN157" s="624"/>
      <c r="DO157" s="624"/>
      <c r="DP157" s="624"/>
      <c r="DQ157" s="624"/>
      <c r="DR157" s="624"/>
      <c r="DS157" s="624"/>
      <c r="DT157" s="624"/>
      <c r="DU157" s="624"/>
      <c r="DV157" s="624"/>
      <c r="DW157" s="624"/>
      <c r="DX157" s="624"/>
      <c r="DY157" s="624"/>
      <c r="DZ157" s="624"/>
      <c r="EA157" s="624"/>
      <c r="EB157" s="624"/>
      <c r="EC157" s="624"/>
      <c r="ED157" s="624"/>
      <c r="EE157" s="624"/>
      <c r="EF157" s="624"/>
      <c r="EG157" s="624"/>
      <c r="EH157" s="624"/>
      <c r="EI157" s="624"/>
      <c r="EJ157" s="624"/>
      <c r="EK157" s="624"/>
      <c r="EL157" s="624"/>
      <c r="EM157" s="624"/>
      <c r="EN157" s="624"/>
      <c r="EO157" s="624"/>
      <c r="EP157" s="624"/>
      <c r="EQ157" s="624"/>
      <c r="ER157" s="624"/>
      <c r="ES157" s="624"/>
      <c r="ET157" s="624"/>
      <c r="EU157" s="624"/>
      <c r="EV157" s="624"/>
      <c r="EW157" s="624"/>
      <c r="EX157" s="624"/>
      <c r="EY157" s="624"/>
      <c r="EZ157" s="624"/>
      <c r="FA157" s="624"/>
      <c r="FB157" s="624"/>
      <c r="FC157" s="624"/>
      <c r="FD157" s="624"/>
      <c r="FE157" s="624"/>
      <c r="FF157" s="624"/>
      <c r="FG157" s="624"/>
      <c r="FH157" s="624"/>
      <c r="FI157" s="624"/>
      <c r="FJ157" s="624"/>
      <c r="FK157" s="624"/>
      <c r="FL157" s="624"/>
      <c r="FM157" s="624"/>
      <c r="FN157" s="624"/>
      <c r="FO157" s="624"/>
      <c r="FP157" s="624"/>
      <c r="FQ157" s="624"/>
      <c r="FR157" s="624"/>
      <c r="FS157" s="624"/>
      <c r="FT157" s="624"/>
      <c r="FU157" s="624"/>
      <c r="FV157" s="624"/>
      <c r="FW157" s="624"/>
      <c r="FX157" s="624"/>
      <c r="FY157" s="624"/>
      <c r="FZ157" s="624"/>
      <c r="GA157" s="624"/>
      <c r="GB157" s="624"/>
      <c r="GC157" s="624"/>
      <c r="GD157" s="624"/>
      <c r="GE157" s="624"/>
      <c r="GF157" s="624"/>
      <c r="GG157" s="624"/>
      <c r="GH157" s="624"/>
      <c r="GI157" s="624"/>
      <c r="GJ157" s="624"/>
      <c r="GK157" s="624"/>
      <c r="GL157" s="77"/>
    </row>
    <row r="158" spans="1:194" s="1" customFormat="1" hidden="1">
      <c r="A158" s="118" t="s">
        <v>244</v>
      </c>
      <c r="B158" s="111" t="s">
        <v>415</v>
      </c>
      <c r="C158" s="627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625">
        <f t="shared" ref="G158:G163" si="59">SUM(M158:CY158)</f>
        <v>461582</v>
      </c>
      <c r="H158" s="62">
        <f t="shared" ref="H158:H163" si="60">SUM(CZ158:GL158)</f>
        <v>468382</v>
      </c>
      <c r="I158" s="625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626">
        <v>4836</v>
      </c>
      <c r="O158" s="626">
        <v>5201</v>
      </c>
      <c r="P158" s="626">
        <v>5213</v>
      </c>
      <c r="Q158" s="626">
        <v>5686</v>
      </c>
      <c r="R158" s="626">
        <v>5652</v>
      </c>
      <c r="S158" s="626">
        <v>5726</v>
      </c>
      <c r="T158" s="626">
        <v>5838</v>
      </c>
      <c r="U158" s="626">
        <v>6219</v>
      </c>
      <c r="V158" s="626">
        <v>6077</v>
      </c>
      <c r="W158" s="626">
        <v>5989</v>
      </c>
      <c r="X158" s="626">
        <v>5868</v>
      </c>
      <c r="Y158" s="626">
        <v>5855</v>
      </c>
      <c r="Z158" s="626">
        <v>5684</v>
      </c>
      <c r="AA158" s="626">
        <v>5723</v>
      </c>
      <c r="AB158" s="626">
        <v>5358</v>
      </c>
      <c r="AC158" s="626">
        <v>5269</v>
      </c>
      <c r="AD158" s="626">
        <v>5287</v>
      </c>
      <c r="AE158" s="626">
        <v>5357</v>
      </c>
      <c r="AF158" s="626">
        <v>5948</v>
      </c>
      <c r="AG158" s="626">
        <v>5623</v>
      </c>
      <c r="AH158" s="626">
        <v>5573</v>
      </c>
      <c r="AI158" s="626">
        <v>5880</v>
      </c>
      <c r="AJ158" s="626">
        <v>6056</v>
      </c>
      <c r="AK158" s="626">
        <v>5676</v>
      </c>
      <c r="AL158" s="626">
        <v>5373</v>
      </c>
      <c r="AM158" s="626">
        <v>5704</v>
      </c>
      <c r="AN158" s="626">
        <v>5542</v>
      </c>
      <c r="AO158" s="626">
        <v>5766</v>
      </c>
      <c r="AP158" s="626">
        <v>5867</v>
      </c>
      <c r="AQ158" s="626">
        <v>5655</v>
      </c>
      <c r="AR158" s="626">
        <v>5999</v>
      </c>
      <c r="AS158" s="626">
        <v>5793</v>
      </c>
      <c r="AT158" s="626">
        <v>5474</v>
      </c>
      <c r="AU158" s="626">
        <v>5638</v>
      </c>
      <c r="AV158" s="626">
        <v>5724</v>
      </c>
      <c r="AW158" s="626">
        <v>5483</v>
      </c>
      <c r="AX158" s="626">
        <v>5754</v>
      </c>
      <c r="AY158" s="626">
        <v>5484</v>
      </c>
      <c r="AZ158" s="626">
        <v>5495</v>
      </c>
      <c r="BA158" s="626">
        <v>5842</v>
      </c>
      <c r="BB158" s="626">
        <v>5780</v>
      </c>
      <c r="BC158" s="626">
        <v>5272</v>
      </c>
      <c r="BD158" s="626">
        <v>5133</v>
      </c>
      <c r="BE158" s="626">
        <v>5259</v>
      </c>
      <c r="BF158" s="626">
        <v>5599</v>
      </c>
      <c r="BG158" s="626">
        <v>5809</v>
      </c>
      <c r="BH158" s="626">
        <v>6515</v>
      </c>
      <c r="BI158" s="626">
        <v>6506</v>
      </c>
      <c r="BJ158" s="626">
        <v>6572</v>
      </c>
      <c r="BK158" s="626">
        <v>6545</v>
      </c>
      <c r="BL158" s="626">
        <v>6683</v>
      </c>
      <c r="BM158" s="626">
        <v>6655</v>
      </c>
      <c r="BN158" s="626">
        <v>6895</v>
      </c>
      <c r="BO158" s="626">
        <v>6636</v>
      </c>
      <c r="BP158" s="626">
        <v>6780</v>
      </c>
      <c r="BQ158" s="626">
        <v>6706</v>
      </c>
      <c r="BR158" s="626">
        <v>6556</v>
      </c>
      <c r="BS158" s="626">
        <v>6403</v>
      </c>
      <c r="BT158" s="626">
        <v>6114</v>
      </c>
      <c r="BU158" s="626">
        <v>5987</v>
      </c>
      <c r="BV158" s="626">
        <v>5710</v>
      </c>
      <c r="BW158" s="626">
        <v>5416</v>
      </c>
      <c r="BX158" s="626">
        <v>5260</v>
      </c>
      <c r="BY158" s="626">
        <v>4931</v>
      </c>
      <c r="BZ158" s="626">
        <v>4790</v>
      </c>
      <c r="CA158" s="626">
        <v>4922</v>
      </c>
      <c r="CB158" s="626">
        <v>4739</v>
      </c>
      <c r="CC158" s="626">
        <v>4612</v>
      </c>
      <c r="CD158" s="626">
        <v>4526</v>
      </c>
      <c r="CE158" s="626">
        <v>4561</v>
      </c>
      <c r="CF158" s="626">
        <v>4667</v>
      </c>
      <c r="CG158" s="626">
        <v>5014</v>
      </c>
      <c r="CH158" s="626">
        <v>5390</v>
      </c>
      <c r="CI158" s="626">
        <v>4109</v>
      </c>
      <c r="CJ158" s="626">
        <v>3957</v>
      </c>
      <c r="CK158" s="626">
        <v>3731</v>
      </c>
      <c r="CL158" s="626">
        <v>3389</v>
      </c>
      <c r="CM158" s="626">
        <v>3062</v>
      </c>
      <c r="CN158" s="626">
        <v>2609</v>
      </c>
      <c r="CO158" s="626">
        <v>2588</v>
      </c>
      <c r="CP158" s="626">
        <v>2490</v>
      </c>
      <c r="CQ158" s="626">
        <v>2283</v>
      </c>
      <c r="CR158" s="626">
        <v>2088</v>
      </c>
      <c r="CS158" s="626">
        <v>1933</v>
      </c>
      <c r="CT158" s="626">
        <v>1681</v>
      </c>
      <c r="CU158" s="626">
        <v>1465</v>
      </c>
      <c r="CV158" s="626">
        <v>1327</v>
      </c>
      <c r="CW158" s="626">
        <v>1089</v>
      </c>
      <c r="CX158" s="626">
        <v>1021</v>
      </c>
      <c r="CY158" s="61">
        <v>3039</v>
      </c>
      <c r="CZ158" s="116">
        <v>4479</v>
      </c>
      <c r="DA158" s="626">
        <v>4565</v>
      </c>
      <c r="DB158" s="626">
        <v>4875</v>
      </c>
      <c r="DC158" s="626">
        <v>5112</v>
      </c>
      <c r="DD158" s="626">
        <v>5280</v>
      </c>
      <c r="DE158" s="626">
        <v>5256</v>
      </c>
      <c r="DF158" s="626">
        <v>5481</v>
      </c>
      <c r="DG158" s="626">
        <v>5596</v>
      </c>
      <c r="DH158" s="626">
        <v>5671</v>
      </c>
      <c r="DI158" s="626">
        <v>5765</v>
      </c>
      <c r="DJ158" s="626">
        <v>5714</v>
      </c>
      <c r="DK158" s="626">
        <v>5608</v>
      </c>
      <c r="DL158" s="626">
        <v>5710</v>
      </c>
      <c r="DM158" s="626">
        <v>5571</v>
      </c>
      <c r="DN158" s="626">
        <v>5411</v>
      </c>
      <c r="DO158" s="626">
        <v>5064</v>
      </c>
      <c r="DP158" s="626">
        <v>5133</v>
      </c>
      <c r="DQ158" s="626">
        <v>4979</v>
      </c>
      <c r="DR158" s="626">
        <v>4987</v>
      </c>
      <c r="DS158" s="626">
        <v>5410</v>
      </c>
      <c r="DT158" s="626">
        <v>4936</v>
      </c>
      <c r="DU158" s="626">
        <v>5084</v>
      </c>
      <c r="DV158" s="626">
        <v>5222</v>
      </c>
      <c r="DW158" s="626">
        <v>5366</v>
      </c>
      <c r="DX158" s="626">
        <v>4896</v>
      </c>
      <c r="DY158" s="626">
        <v>5002</v>
      </c>
      <c r="DZ158" s="626">
        <v>5359</v>
      </c>
      <c r="EA158" s="626">
        <v>5257</v>
      </c>
      <c r="EB158" s="626">
        <v>5250</v>
      </c>
      <c r="EC158" s="626">
        <v>5322</v>
      </c>
      <c r="ED158" s="626">
        <v>5193</v>
      </c>
      <c r="EE158" s="626">
        <v>5534</v>
      </c>
      <c r="EF158" s="626">
        <v>5646</v>
      </c>
      <c r="EG158" s="626">
        <v>5796</v>
      </c>
      <c r="EH158" s="626">
        <v>5374</v>
      </c>
      <c r="EI158" s="626">
        <v>5596</v>
      </c>
      <c r="EJ158" s="626">
        <v>5764</v>
      </c>
      <c r="EK158" s="626">
        <v>5718</v>
      </c>
      <c r="EL158" s="626">
        <v>5786</v>
      </c>
      <c r="EM158" s="626">
        <v>5801</v>
      </c>
      <c r="EN158" s="626">
        <v>5970</v>
      </c>
      <c r="EO158" s="626">
        <v>5476</v>
      </c>
      <c r="EP158" s="626">
        <v>5266</v>
      </c>
      <c r="EQ158" s="626">
        <v>5316</v>
      </c>
      <c r="ER158" s="626">
        <v>5679</v>
      </c>
      <c r="ES158" s="626">
        <v>5711</v>
      </c>
      <c r="ET158" s="626">
        <v>6116</v>
      </c>
      <c r="EU158" s="626">
        <v>6459</v>
      </c>
      <c r="EV158" s="626">
        <v>6862</v>
      </c>
      <c r="EW158" s="626">
        <v>6725</v>
      </c>
      <c r="EX158" s="626">
        <v>6681</v>
      </c>
      <c r="EY158" s="626">
        <v>6736</v>
      </c>
      <c r="EZ158" s="626">
        <v>6601</v>
      </c>
      <c r="FA158" s="626">
        <v>6996</v>
      </c>
      <c r="FB158" s="626">
        <v>6935</v>
      </c>
      <c r="FC158" s="626">
        <v>6827</v>
      </c>
      <c r="FD158" s="626">
        <v>6852</v>
      </c>
      <c r="FE158" s="626">
        <v>6612</v>
      </c>
      <c r="FF158" s="626">
        <v>6490</v>
      </c>
      <c r="FG158" s="626">
        <v>6258</v>
      </c>
      <c r="FH158" s="626">
        <v>5928</v>
      </c>
      <c r="FI158" s="626">
        <v>5805</v>
      </c>
      <c r="FJ158" s="626">
        <v>5630</v>
      </c>
      <c r="FK158" s="626">
        <v>5388</v>
      </c>
      <c r="FL158" s="626">
        <v>5257</v>
      </c>
      <c r="FM158" s="626">
        <v>5110</v>
      </c>
      <c r="FN158" s="626">
        <v>5135</v>
      </c>
      <c r="FO158" s="626">
        <v>5165</v>
      </c>
      <c r="FP158" s="626">
        <v>4915</v>
      </c>
      <c r="FQ158" s="626">
        <v>4880</v>
      </c>
      <c r="FR158" s="626">
        <v>5009</v>
      </c>
      <c r="FS158" s="626">
        <v>5118</v>
      </c>
      <c r="FT158" s="626">
        <v>5491</v>
      </c>
      <c r="FU158" s="626">
        <v>5699</v>
      </c>
      <c r="FV158" s="626">
        <v>4422</v>
      </c>
      <c r="FW158" s="626">
        <v>4484</v>
      </c>
      <c r="FX158" s="626">
        <v>4374</v>
      </c>
      <c r="FY158" s="626">
        <v>3919</v>
      </c>
      <c r="FZ158" s="626">
        <v>3492</v>
      </c>
      <c r="GA158" s="626">
        <v>3074</v>
      </c>
      <c r="GB158" s="626">
        <v>3141</v>
      </c>
      <c r="GC158" s="626">
        <v>2980</v>
      </c>
      <c r="GD158" s="626">
        <v>2862</v>
      </c>
      <c r="GE158" s="626">
        <v>2639</v>
      </c>
      <c r="GF158" s="626">
        <v>2457</v>
      </c>
      <c r="GG158" s="626">
        <v>2293</v>
      </c>
      <c r="GH158" s="626">
        <v>1990</v>
      </c>
      <c r="GI158" s="626">
        <v>1869</v>
      </c>
      <c r="GJ158" s="626">
        <v>1684</v>
      </c>
      <c r="GK158" s="626">
        <v>1609</v>
      </c>
      <c r="GL158" s="61">
        <v>6426</v>
      </c>
    </row>
    <row r="159" spans="1:194" s="1" customFormat="1" hidden="1">
      <c r="A159" s="120" t="s">
        <v>244</v>
      </c>
      <c r="B159" s="112" t="s">
        <v>416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>
      <c r="A160" s="120" t="s">
        <v>244</v>
      </c>
      <c r="B160" s="112" t="s">
        <v>417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>
      <c r="A161" s="120" t="s">
        <v>244</v>
      </c>
      <c r="B161" s="112" t="s">
        <v>418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>
      <c r="A162" s="120" t="s">
        <v>244</v>
      </c>
      <c r="B162" s="112" t="s">
        <v>419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>
      <c r="A163" s="120" t="s">
        <v>244</v>
      </c>
      <c r="B163" s="112" t="s">
        <v>420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>
      <c r="A164" s="120" t="s">
        <v>244</v>
      </c>
      <c r="B164" s="112" t="s">
        <v>421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>
      <c r="A165" s="120" t="s">
        <v>244</v>
      </c>
      <c r="B165" s="112" t="s">
        <v>422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>
      <c r="A166" s="120" t="s">
        <v>244</v>
      </c>
      <c r="B166" s="112" t="s">
        <v>423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>
      <c r="A167" s="120" t="s">
        <v>244</v>
      </c>
      <c r="B167" s="112" t="s">
        <v>424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>
      <c r="A168" s="120" t="s">
        <v>244</v>
      </c>
      <c r="B168" s="112" t="s">
        <v>425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>
      <c r="A169" s="120" t="s">
        <v>244</v>
      </c>
      <c r="B169" s="112" t="s">
        <v>426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>
      <c r="A170" s="120" t="s">
        <v>244</v>
      </c>
      <c r="B170" s="112" t="s">
        <v>427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>
      <c r="A171" s="120" t="s">
        <v>244</v>
      </c>
      <c r="B171" s="112" t="s">
        <v>428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>
      <c r="A172" s="120" t="s">
        <v>244</v>
      </c>
      <c r="B172" s="112" t="s">
        <v>429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>
      <c r="A173" s="120" t="s">
        <v>244</v>
      </c>
      <c r="B173" s="112" t="s">
        <v>430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>
      <c r="A174" s="120" t="s">
        <v>244</v>
      </c>
      <c r="B174" s="112" t="s">
        <v>431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>
      <c r="A175" s="120" t="s">
        <v>244</v>
      </c>
      <c r="B175" s="112" t="s">
        <v>432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>
      <c r="A176" s="120" t="s">
        <v>244</v>
      </c>
      <c r="B176" s="112" t="s">
        <v>433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>
      <c r="A177" s="120" t="s">
        <v>244</v>
      </c>
      <c r="B177" s="112" t="s">
        <v>434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>
      <c r="A178" s="120" t="s">
        <v>244</v>
      </c>
      <c r="B178" s="112" t="s">
        <v>435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>
      <c r="A179" s="120" t="s">
        <v>244</v>
      </c>
      <c r="B179" s="112" t="s">
        <v>436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>
      <c r="A180" s="120" t="s">
        <v>244</v>
      </c>
      <c r="B180" s="112" t="s">
        <v>437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>
      <c r="A181" s="120" t="s">
        <v>244</v>
      </c>
      <c r="B181" s="112" t="s">
        <v>438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>
      <c r="A182" s="120" t="s">
        <v>244</v>
      </c>
      <c r="B182" s="112" t="s">
        <v>439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>
      <c r="A183" s="120" t="s">
        <v>244</v>
      </c>
      <c r="B183" s="112" t="s">
        <v>348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>
      <c r="A184" s="120" t="s">
        <v>244</v>
      </c>
      <c r="B184" s="112" t="s">
        <v>440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>
      <c r="A185" s="120" t="s">
        <v>244</v>
      </c>
      <c r="B185" s="112" t="s">
        <v>352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>
      <c r="A186" s="120" t="s">
        <v>244</v>
      </c>
      <c r="B186" s="112" t="s">
        <v>441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>
      <c r="A187" s="120" t="s">
        <v>244</v>
      </c>
      <c r="B187" s="112" t="s">
        <v>442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>
      <c r="A188" s="120" t="s">
        <v>244</v>
      </c>
      <c r="B188" s="112" t="s">
        <v>443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>
      <c r="A189" s="120" t="s">
        <v>244</v>
      </c>
      <c r="B189" s="112" t="s">
        <v>444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>
      <c r="A190" s="120" t="s">
        <v>244</v>
      </c>
      <c r="B190" s="112" t="s">
        <v>445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>
      <c r="A191" s="120" t="s">
        <v>244</v>
      </c>
      <c r="B191" s="112" t="s">
        <v>446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>
      <c r="A192" s="120" t="s">
        <v>244</v>
      </c>
      <c r="B192" s="112" t="s">
        <v>447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>
      <c r="A193" s="120" t="s">
        <v>244</v>
      </c>
      <c r="B193" s="112" t="s">
        <v>448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>
      <c r="A194" s="120" t="s">
        <v>244</v>
      </c>
      <c r="B194" s="112" t="s">
        <v>449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>
      <c r="A195" s="120" t="s">
        <v>244</v>
      </c>
      <c r="B195" s="112" t="s">
        <v>450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>
      <c r="A196" s="120" t="s">
        <v>244</v>
      </c>
      <c r="B196" s="112" t="s">
        <v>451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>
      <c r="A197" s="120" t="s">
        <v>244</v>
      </c>
      <c r="B197" s="112" t="s">
        <v>452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>
      <c r="A198" s="120" t="s">
        <v>244</v>
      </c>
      <c r="B198" s="112" t="s">
        <v>453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>
      <c r="A199" s="120" t="s">
        <v>244</v>
      </c>
      <c r="B199" s="112" t="s">
        <v>454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idden="1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>
      <c r="A201" s="31" t="s">
        <v>269</v>
      </c>
      <c r="B201" s="1" t="s">
        <v>455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625">
        <f t="shared" ref="F201:F265" si="87">G201+H201</f>
        <v>64187</v>
      </c>
      <c r="G201" s="625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>
      <c r="A202" s="31" t="s">
        <v>269</v>
      </c>
      <c r="B202" s="1" t="s">
        <v>456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>
      <c r="A203" s="31" t="s">
        <v>269</v>
      </c>
      <c r="B203" s="1" t="s">
        <v>457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>
      <c r="A204" s="31" t="s">
        <v>269</v>
      </c>
      <c r="B204" s="1" t="s">
        <v>458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>
      <c r="A205" s="31" t="s">
        <v>269</v>
      </c>
      <c r="B205" s="1" t="s">
        <v>459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>
      <c r="A206" s="31" t="s">
        <v>269</v>
      </c>
      <c r="B206" s="1" t="s">
        <v>460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>
      <c r="A207" s="31" t="s">
        <v>269</v>
      </c>
      <c r="B207" s="1" t="s">
        <v>461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>
      <c r="A208" s="31" t="s">
        <v>269</v>
      </c>
      <c r="B208" s="1" t="s">
        <v>462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>
      <c r="A209" s="31" t="s">
        <v>269</v>
      </c>
      <c r="B209" s="1" t="s">
        <v>463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>
      <c r="A210" s="31" t="s">
        <v>269</v>
      </c>
      <c r="B210" s="1" t="s">
        <v>464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>
      <c r="A211" s="31" t="s">
        <v>269</v>
      </c>
      <c r="B211" s="1" t="s">
        <v>465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>
      <c r="A212" s="31" t="s">
        <v>269</v>
      </c>
      <c r="B212" s="1" t="s">
        <v>466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>
      <c r="A213" s="31" t="s">
        <v>269</v>
      </c>
      <c r="B213" s="1" t="s">
        <v>467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>
      <c r="A214" s="31" t="s">
        <v>269</v>
      </c>
      <c r="B214" s="1" t="s">
        <v>468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>
      <c r="A215" s="31" t="s">
        <v>269</v>
      </c>
      <c r="B215" s="1" t="s">
        <v>469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>
      <c r="A216" s="31" t="s">
        <v>269</v>
      </c>
      <c r="B216" s="1" t="s">
        <v>470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>
      <c r="A217" s="31" t="s">
        <v>269</v>
      </c>
      <c r="B217" s="1" t="s">
        <v>471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>
      <c r="A218" s="31" t="s">
        <v>269</v>
      </c>
      <c r="B218" s="1" t="s">
        <v>472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>
      <c r="A219" s="31" t="s">
        <v>269</v>
      </c>
      <c r="B219" s="1" t="s">
        <v>473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>
      <c r="A220" s="31" t="s">
        <v>269</v>
      </c>
      <c r="B220" s="1" t="s">
        <v>474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>
      <c r="A221" s="31" t="s">
        <v>269</v>
      </c>
      <c r="B221" s="1" t="s">
        <v>475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>
      <c r="A222" s="31" t="s">
        <v>269</v>
      </c>
      <c r="B222" s="1" t="s">
        <v>476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>
      <c r="A223" s="31" t="s">
        <v>269</v>
      </c>
      <c r="B223" s="1" t="s">
        <v>477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>
      <c r="A224" s="31" t="s">
        <v>269</v>
      </c>
      <c r="B224" s="1" t="s">
        <v>478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>
      <c r="A225" s="31" t="s">
        <v>269</v>
      </c>
      <c r="B225" s="1" t="s">
        <v>479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>
      <c r="A226" s="31" t="s">
        <v>269</v>
      </c>
      <c r="B226" s="1" t="s">
        <v>480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>
      <c r="A227" s="31" t="s">
        <v>269</v>
      </c>
      <c r="B227" s="1" t="s">
        <v>481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>
      <c r="A228" s="31" t="s">
        <v>269</v>
      </c>
      <c r="B228" s="1" t="s">
        <v>482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>
      <c r="A229" s="31" t="s">
        <v>269</v>
      </c>
      <c r="B229" s="1" t="s">
        <v>483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>
      <c r="A230" s="31" t="s">
        <v>269</v>
      </c>
      <c r="B230" s="1" t="s">
        <v>484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>
      <c r="A231" s="31" t="s">
        <v>269</v>
      </c>
      <c r="B231" s="1" t="s">
        <v>485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>
      <c r="A232" s="31" t="s">
        <v>269</v>
      </c>
      <c r="B232" s="1" t="s">
        <v>486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>
      <c r="A233" s="31" t="s">
        <v>269</v>
      </c>
      <c r="B233" s="1" t="s">
        <v>487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>
      <c r="A234" s="31" t="s">
        <v>269</v>
      </c>
      <c r="B234" s="1" t="s">
        <v>488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>
      <c r="A235" s="31" t="s">
        <v>269</v>
      </c>
      <c r="B235" s="1" t="s">
        <v>489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>
      <c r="A236" s="31" t="s">
        <v>269</v>
      </c>
      <c r="B236" s="1" t="s">
        <v>490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>
      <c r="A237" s="31" t="s">
        <v>269</v>
      </c>
      <c r="B237" s="1" t="s">
        <v>491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>
      <c r="A238" s="31" t="s">
        <v>269</v>
      </c>
      <c r="B238" s="1" t="s">
        <v>492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>
      <c r="A239" s="31" t="s">
        <v>269</v>
      </c>
      <c r="B239" s="1" t="s">
        <v>493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>
      <c r="A240" s="31" t="s">
        <v>269</v>
      </c>
      <c r="B240" s="1" t="s">
        <v>494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>
      <c r="A241" s="31" t="s">
        <v>269</v>
      </c>
      <c r="B241" s="1" t="s">
        <v>495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>
      <c r="A242" s="31" t="s">
        <v>269</v>
      </c>
      <c r="B242" s="1" t="s">
        <v>496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>
      <c r="A243" s="31" t="s">
        <v>269</v>
      </c>
      <c r="B243" s="1" t="s">
        <v>497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>
      <c r="A244" s="31" t="s">
        <v>269</v>
      </c>
      <c r="B244" s="1" t="s">
        <v>498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>
      <c r="A245" s="31" t="s">
        <v>269</v>
      </c>
      <c r="B245" s="1" t="s">
        <v>499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>
      <c r="A246" s="31" t="s">
        <v>269</v>
      </c>
      <c r="B246" s="1" t="s">
        <v>500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>
      <c r="A247" s="31" t="s">
        <v>269</v>
      </c>
      <c r="B247" s="1" t="s">
        <v>501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>
      <c r="A248" s="31" t="s">
        <v>269</v>
      </c>
      <c r="B248" s="1" t="s">
        <v>502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>
      <c r="A249" s="31" t="s">
        <v>269</v>
      </c>
      <c r="B249" s="1" t="s">
        <v>503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>
      <c r="A250" s="31" t="s">
        <v>269</v>
      </c>
      <c r="B250" s="1" t="s">
        <v>504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>
      <c r="A251" s="31" t="s">
        <v>269</v>
      </c>
      <c r="B251" s="1" t="s">
        <v>505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>
      <c r="A252" s="31" t="s">
        <v>269</v>
      </c>
      <c r="B252" s="1" t="s">
        <v>506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>
      <c r="A253" s="31" t="s">
        <v>269</v>
      </c>
      <c r="B253" s="1" t="s">
        <v>507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>
      <c r="A254" s="31" t="s">
        <v>269</v>
      </c>
      <c r="B254" s="1" t="s">
        <v>508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>
      <c r="A255" s="31" t="s">
        <v>269</v>
      </c>
      <c r="B255" s="1" t="s">
        <v>509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>
      <c r="A256" s="31" t="s">
        <v>269</v>
      </c>
      <c r="B256" s="1" t="s">
        <v>510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>
      <c r="A257" s="31" t="s">
        <v>269</v>
      </c>
      <c r="B257" s="1" t="s">
        <v>511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>
      <c r="A258" s="31" t="s">
        <v>269</v>
      </c>
      <c r="B258" s="1" t="s">
        <v>512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>
      <c r="A259" s="31" t="s">
        <v>269</v>
      </c>
      <c r="B259" s="1" t="s">
        <v>513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>
      <c r="A260" s="31" t="s">
        <v>269</v>
      </c>
      <c r="B260" s="1" t="s">
        <v>514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>
      <c r="A261" s="31" t="s">
        <v>269</v>
      </c>
      <c r="B261" s="1" t="s">
        <v>515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>
      <c r="A262" s="31" t="s">
        <v>269</v>
      </c>
      <c r="B262" s="1" t="s">
        <v>516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>
      <c r="A263" s="31" t="s">
        <v>269</v>
      </c>
      <c r="B263" s="1" t="s">
        <v>517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>
      <c r="A264" s="31" t="s">
        <v>269</v>
      </c>
      <c r="B264" s="1" t="s">
        <v>518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>
      <c r="A265" s="31" t="s">
        <v>269</v>
      </c>
      <c r="B265" s="1" t="s">
        <v>519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>
      <c r="A266" s="31" t="s">
        <v>269</v>
      </c>
      <c r="B266" s="1" t="s">
        <v>520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>
      <c r="A267" s="31" t="s">
        <v>269</v>
      </c>
      <c r="B267" s="1" t="s">
        <v>521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>
      <c r="A268" s="31" t="s">
        <v>269</v>
      </c>
      <c r="B268" s="1" t="s">
        <v>522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>
      <c r="A269" s="31" t="s">
        <v>269</v>
      </c>
      <c r="B269" s="1" t="s">
        <v>523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>
      <c r="A270" s="31" t="s">
        <v>269</v>
      </c>
      <c r="B270" s="1" t="s">
        <v>524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>
      <c r="A271" s="31" t="s">
        <v>269</v>
      </c>
      <c r="B271" s="1" t="s">
        <v>525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>
      <c r="A272" s="31" t="s">
        <v>269</v>
      </c>
      <c r="B272" s="1" t="s">
        <v>526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>
      <c r="A273" s="31" t="s">
        <v>269</v>
      </c>
      <c r="B273" s="1" t="s">
        <v>527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>
      <c r="A274" s="31" t="s">
        <v>269</v>
      </c>
      <c r="B274" s="1" t="s">
        <v>528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>
      <c r="A275" s="31" t="s">
        <v>269</v>
      </c>
      <c r="B275" s="1" t="s">
        <v>529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>
      <c r="A276" s="31" t="s">
        <v>269</v>
      </c>
      <c r="B276" s="1" t="s">
        <v>530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>
      <c r="A277" s="31" t="s">
        <v>269</v>
      </c>
      <c r="B277" s="1" t="s">
        <v>426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>
      <c r="A278" s="31" t="s">
        <v>269</v>
      </c>
      <c r="B278" s="1" t="s">
        <v>531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>
      <c r="A279" s="31" t="s">
        <v>269</v>
      </c>
      <c r="B279" s="1" t="s">
        <v>532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>
      <c r="A280" s="31" t="s">
        <v>269</v>
      </c>
      <c r="B280" s="1" t="s">
        <v>533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>
      <c r="A281" s="31" t="s">
        <v>269</v>
      </c>
      <c r="B281" s="1" t="s">
        <v>534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>
      <c r="A282" s="31" t="s">
        <v>269</v>
      </c>
      <c r="B282" s="1" t="s">
        <v>535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>
      <c r="A283" s="31" t="s">
        <v>269</v>
      </c>
      <c r="B283" s="1" t="s">
        <v>536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>
      <c r="A284" s="31" t="s">
        <v>269</v>
      </c>
      <c r="B284" s="1" t="s">
        <v>537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>
      <c r="A285" s="31" t="s">
        <v>269</v>
      </c>
      <c r="B285" s="1" t="s">
        <v>538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>
      <c r="A286" s="31" t="s">
        <v>269</v>
      </c>
      <c r="B286" s="1" t="s">
        <v>539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>
      <c r="A287" s="31" t="s">
        <v>269</v>
      </c>
      <c r="B287" s="1" t="s">
        <v>540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>
      <c r="A288" s="31" t="s">
        <v>269</v>
      </c>
      <c r="B288" s="1" t="s">
        <v>541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>
      <c r="A289" s="31" t="s">
        <v>269</v>
      </c>
      <c r="B289" s="1" t="s">
        <v>542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>
      <c r="A290" s="31" t="s">
        <v>269</v>
      </c>
      <c r="B290" s="1" t="s">
        <v>543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>
      <c r="A291" s="31" t="s">
        <v>269</v>
      </c>
      <c r="B291" s="1" t="s">
        <v>544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>
      <c r="A292" s="31" t="s">
        <v>269</v>
      </c>
      <c r="B292" s="1" t="s">
        <v>545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>
      <c r="A293" s="31" t="s">
        <v>269</v>
      </c>
      <c r="B293" s="1" t="s">
        <v>546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>
      <c r="A294" s="31" t="s">
        <v>269</v>
      </c>
      <c r="B294" s="1" t="s">
        <v>547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>
      <c r="A295" s="31" t="s">
        <v>269</v>
      </c>
      <c r="B295" s="1" t="s">
        <v>548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>
      <c r="A296" s="31" t="s">
        <v>269</v>
      </c>
      <c r="B296" s="1" t="s">
        <v>549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>
      <c r="A297" s="31" t="s">
        <v>269</v>
      </c>
      <c r="B297" s="1" t="s">
        <v>550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>
      <c r="A298" s="31" t="s">
        <v>269</v>
      </c>
      <c r="B298" s="1" t="s">
        <v>551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>
      <c r="A299" s="31" t="s">
        <v>269</v>
      </c>
      <c r="B299" s="1" t="s">
        <v>552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>
      <c r="A300" s="31" t="s">
        <v>269</v>
      </c>
      <c r="B300" s="1" t="s">
        <v>553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>
      <c r="A301" s="31" t="s">
        <v>269</v>
      </c>
      <c r="B301" s="1" t="s">
        <v>554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>
      <c r="A302" s="31" t="s">
        <v>269</v>
      </c>
      <c r="B302" s="1" t="s">
        <v>555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>
      <c r="A303" s="31" t="s">
        <v>269</v>
      </c>
      <c r="B303" s="1" t="s">
        <v>556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>
      <c r="A304" s="31" t="s">
        <v>269</v>
      </c>
      <c r="B304" s="1" t="s">
        <v>557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>
      <c r="A305" s="31" t="s">
        <v>269</v>
      </c>
      <c r="B305" s="1" t="s">
        <v>558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>
      <c r="A306" s="31" t="s">
        <v>269</v>
      </c>
      <c r="B306" s="1" t="s">
        <v>559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>
      <c r="A307" s="31" t="s">
        <v>269</v>
      </c>
      <c r="B307" s="1" t="s">
        <v>560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>
      <c r="A308" s="31" t="s">
        <v>269</v>
      </c>
      <c r="B308" s="1" t="s">
        <v>561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>
      <c r="A309" s="31" t="s">
        <v>269</v>
      </c>
      <c r="B309" s="1" t="s">
        <v>562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>
      <c r="A310" s="31" t="s">
        <v>269</v>
      </c>
      <c r="B310" s="1" t="s">
        <v>563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>
      <c r="A311" s="31" t="s">
        <v>269</v>
      </c>
      <c r="B311" s="1" t="s">
        <v>564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>
      <c r="A312" s="31" t="s">
        <v>269</v>
      </c>
      <c r="B312" s="1" t="s">
        <v>565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>
      <c r="A313" s="31" t="s">
        <v>269</v>
      </c>
      <c r="B313" s="1" t="s">
        <v>566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>
      <c r="A314" s="31" t="s">
        <v>269</v>
      </c>
      <c r="B314" s="1" t="s">
        <v>567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>
      <c r="A315" s="31" t="s">
        <v>269</v>
      </c>
      <c r="B315" s="1" t="s">
        <v>568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>
      <c r="A316" s="31" t="s">
        <v>269</v>
      </c>
      <c r="B316" s="1" t="s">
        <v>569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>
      <c r="A317" s="31" t="s">
        <v>269</v>
      </c>
      <c r="B317" s="1" t="s">
        <v>570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>
      <c r="A318" s="31" t="s">
        <v>269</v>
      </c>
      <c r="B318" s="1" t="s">
        <v>571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>
      <c r="A319" s="31" t="s">
        <v>269</v>
      </c>
      <c r="B319" s="1" t="s">
        <v>572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>
      <c r="A320" s="31" t="s">
        <v>269</v>
      </c>
      <c r="B320" s="1" t="s">
        <v>573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>
      <c r="A321" s="31" t="s">
        <v>269</v>
      </c>
      <c r="B321" s="1" t="s">
        <v>574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>
      <c r="A322" s="31" t="s">
        <v>269</v>
      </c>
      <c r="B322" s="1" t="s">
        <v>575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>
      <c r="A323" s="31" t="s">
        <v>269</v>
      </c>
      <c r="B323" s="1" t="s">
        <v>576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>
      <c r="A324" s="31" t="s">
        <v>269</v>
      </c>
      <c r="B324" s="1" t="s">
        <v>577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>
      <c r="A325" s="31" t="s">
        <v>269</v>
      </c>
      <c r="B325" s="1" t="s">
        <v>578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>
      <c r="A326" s="31" t="s">
        <v>269</v>
      </c>
      <c r="B326" s="1" t="s">
        <v>579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>
      <c r="A327" s="31" t="s">
        <v>269</v>
      </c>
      <c r="B327" s="1" t="s">
        <v>580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>
      <c r="A328" s="31" t="s">
        <v>269</v>
      </c>
      <c r="B328" s="1" t="s">
        <v>581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>
      <c r="A329" s="31" t="s">
        <v>269</v>
      </c>
      <c r="B329" s="1" t="s">
        <v>582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>
      <c r="A330" s="31" t="s">
        <v>269</v>
      </c>
      <c r="B330" s="1" t="s">
        <v>583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>
      <c r="A331" s="31" t="s">
        <v>269</v>
      </c>
      <c r="B331" s="1" t="s">
        <v>584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>
      <c r="A332" s="31" t="s">
        <v>269</v>
      </c>
      <c r="B332" s="1" t="s">
        <v>585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>
      <c r="A333" s="31" t="s">
        <v>269</v>
      </c>
      <c r="B333" s="1" t="s">
        <v>586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>
      <c r="A334" s="31" t="s">
        <v>269</v>
      </c>
      <c r="B334" s="1" t="s">
        <v>587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>
      <c r="A335" s="31" t="s">
        <v>269</v>
      </c>
      <c r="B335" s="1" t="s">
        <v>588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>
      <c r="A336" s="31" t="s">
        <v>269</v>
      </c>
      <c r="B336" s="1" t="s">
        <v>589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>
      <c r="A337" s="31" t="s">
        <v>269</v>
      </c>
      <c r="B337" s="1" t="s">
        <v>590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>
      <c r="A338" s="31" t="s">
        <v>269</v>
      </c>
      <c r="B338" s="1" t="s">
        <v>591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>
      <c r="A339" s="31" t="s">
        <v>269</v>
      </c>
      <c r="B339" s="1" t="s">
        <v>592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>
      <c r="A340" s="31" t="s">
        <v>269</v>
      </c>
      <c r="B340" s="1" t="s">
        <v>593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>
      <c r="A341" s="31" t="s">
        <v>269</v>
      </c>
      <c r="B341" s="1" t="s">
        <v>594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>
      <c r="A342" s="31" t="s">
        <v>269</v>
      </c>
      <c r="B342" s="1" t="s">
        <v>595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>
      <c r="A343" s="31" t="s">
        <v>269</v>
      </c>
      <c r="B343" s="1" t="s">
        <v>596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>
      <c r="A344" s="31" t="s">
        <v>269</v>
      </c>
      <c r="B344" s="1" t="s">
        <v>597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>
      <c r="A345" s="31" t="s">
        <v>269</v>
      </c>
      <c r="B345" s="1" t="s">
        <v>598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>
      <c r="A346" s="31" t="s">
        <v>269</v>
      </c>
      <c r="B346" s="1" t="s">
        <v>599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>
      <c r="A347" s="31" t="s">
        <v>269</v>
      </c>
      <c r="B347" s="1" t="s">
        <v>600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>
      <c r="A348" s="31" t="s">
        <v>269</v>
      </c>
      <c r="B348" s="1" t="s">
        <v>601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>
      <c r="A349" s="31" t="s">
        <v>269</v>
      </c>
      <c r="B349" s="1" t="s">
        <v>602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>
      <c r="A350" s="31" t="s">
        <v>269</v>
      </c>
      <c r="B350" s="1" t="s">
        <v>603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>
      <c r="A351" s="31" t="s">
        <v>269</v>
      </c>
      <c r="B351" s="1" t="s">
        <v>604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>
      <c r="A352" s="31" t="s">
        <v>269</v>
      </c>
      <c r="B352" s="1" t="s">
        <v>605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>
      <c r="A353" s="31" t="s">
        <v>269</v>
      </c>
      <c r="B353" s="1" t="s">
        <v>606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>
      <c r="A354" s="31" t="s">
        <v>269</v>
      </c>
      <c r="B354" s="1" t="s">
        <v>607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>
      <c r="A355" s="31" t="s">
        <v>269</v>
      </c>
      <c r="B355" s="1" t="s">
        <v>608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>
      <c r="A356" s="31" t="s">
        <v>269</v>
      </c>
      <c r="B356" s="1" t="s">
        <v>609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>
      <c r="A357" s="31" t="s">
        <v>269</v>
      </c>
      <c r="B357" s="1" t="s">
        <v>610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>
      <c r="A358" s="31" t="s">
        <v>269</v>
      </c>
      <c r="B358" s="1" t="s">
        <v>611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>
      <c r="A359" s="31" t="s">
        <v>269</v>
      </c>
      <c r="B359" s="1" t="s">
        <v>612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>
      <c r="A360" s="31" t="s">
        <v>269</v>
      </c>
      <c r="B360" s="1" t="s">
        <v>613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>
      <c r="A361" s="31" t="s">
        <v>269</v>
      </c>
      <c r="B361" s="1" t="s">
        <v>614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>
      <c r="A362" s="31" t="s">
        <v>269</v>
      </c>
      <c r="B362" s="1" t="s">
        <v>615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>
      <c r="A363" s="31" t="s">
        <v>269</v>
      </c>
      <c r="B363" s="1" t="s">
        <v>616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>
      <c r="A364" s="31" t="s">
        <v>269</v>
      </c>
      <c r="B364" s="1" t="s">
        <v>617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>
      <c r="A365" s="31" t="s">
        <v>269</v>
      </c>
      <c r="B365" s="1" t="s">
        <v>618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>
      <c r="A366" s="31" t="s">
        <v>269</v>
      </c>
      <c r="B366" s="1" t="s">
        <v>619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>
      <c r="A367" s="31" t="s">
        <v>269</v>
      </c>
      <c r="B367" s="1" t="s">
        <v>620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>
      <c r="A368" s="31" t="s">
        <v>269</v>
      </c>
      <c r="B368" s="1" t="s">
        <v>621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>
      <c r="A369" s="31" t="s">
        <v>269</v>
      </c>
      <c r="B369" s="1" t="s">
        <v>622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>
      <c r="A370" s="31" t="s">
        <v>269</v>
      </c>
      <c r="B370" s="1" t="s">
        <v>623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>
      <c r="A371" s="31" t="s">
        <v>269</v>
      </c>
      <c r="B371" s="1" t="s">
        <v>624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>
      <c r="A372" s="31" t="s">
        <v>269</v>
      </c>
      <c r="B372" s="1" t="s">
        <v>625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>
      <c r="A373" s="31" t="s">
        <v>269</v>
      </c>
      <c r="B373" s="1" t="s">
        <v>626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>
      <c r="A374" s="31" t="s">
        <v>269</v>
      </c>
      <c r="B374" s="1" t="s">
        <v>627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>
      <c r="A375" s="31" t="s">
        <v>269</v>
      </c>
      <c r="B375" s="1" t="s">
        <v>628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>
      <c r="A376" s="31" t="s">
        <v>269</v>
      </c>
      <c r="B376" s="1" t="s">
        <v>629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>
      <c r="A377" s="31" t="s">
        <v>269</v>
      </c>
      <c r="B377" s="1" t="s">
        <v>630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>
      <c r="A378" s="31" t="s">
        <v>269</v>
      </c>
      <c r="B378" s="1" t="s">
        <v>631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>
      <c r="A379" s="31" t="s">
        <v>269</v>
      </c>
      <c r="B379" s="1" t="s">
        <v>632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>
      <c r="A380" s="31" t="s">
        <v>269</v>
      </c>
      <c r="B380" s="1" t="s">
        <v>633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>
      <c r="A381" s="31" t="s">
        <v>269</v>
      </c>
      <c r="B381" s="1" t="s">
        <v>634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>
      <c r="A382" s="31" t="s">
        <v>269</v>
      </c>
      <c r="B382" s="1" t="s">
        <v>635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>
      <c r="A383" s="31" t="s">
        <v>269</v>
      </c>
      <c r="B383" s="1" t="s">
        <v>636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>
      <c r="A384" s="31" t="s">
        <v>269</v>
      </c>
      <c r="B384" s="1" t="s">
        <v>637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>
      <c r="A385" s="31" t="s">
        <v>269</v>
      </c>
      <c r="B385" s="1" t="s">
        <v>638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>
      <c r="A386" s="31" t="s">
        <v>269</v>
      </c>
      <c r="B386" s="1" t="s">
        <v>639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>
      <c r="A387" s="31" t="s">
        <v>269</v>
      </c>
      <c r="B387" s="1" t="s">
        <v>640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>
      <c r="A388" s="31" t="s">
        <v>269</v>
      </c>
      <c r="B388" s="1" t="s">
        <v>641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>
      <c r="A389" s="31" t="s">
        <v>269</v>
      </c>
      <c r="B389" s="1" t="s">
        <v>642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>
      <c r="A390" s="31" t="s">
        <v>269</v>
      </c>
      <c r="B390" s="1" t="s">
        <v>643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>
      <c r="A391" s="31" t="s">
        <v>269</v>
      </c>
      <c r="B391" s="1" t="s">
        <v>644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>
      <c r="A392" s="31" t="s">
        <v>269</v>
      </c>
      <c r="B392" s="1" t="s">
        <v>645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>
      <c r="A393" s="31" t="s">
        <v>269</v>
      </c>
      <c r="B393" s="1" t="s">
        <v>646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>
      <c r="A394" s="31" t="s">
        <v>269</v>
      </c>
      <c r="B394" s="1" t="s">
        <v>647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>
      <c r="A395" s="31" t="s">
        <v>269</v>
      </c>
      <c r="B395" s="1" t="s">
        <v>648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>
      <c r="A396" s="31" t="s">
        <v>269</v>
      </c>
      <c r="B396" s="1" t="s">
        <v>649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>
      <c r="A397" s="31" t="s">
        <v>269</v>
      </c>
      <c r="B397" s="1" t="s">
        <v>650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>
      <c r="A398" s="31" t="s">
        <v>269</v>
      </c>
      <c r="B398" s="1" t="s">
        <v>651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>
      <c r="A399" s="31" t="s">
        <v>269</v>
      </c>
      <c r="B399" s="1" t="s">
        <v>652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>
      <c r="A400" s="31" t="s">
        <v>269</v>
      </c>
      <c r="B400" s="1" t="s">
        <v>653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>
      <c r="A401" s="31" t="s">
        <v>269</v>
      </c>
      <c r="B401" s="1" t="s">
        <v>654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>
      <c r="A402" s="31" t="s">
        <v>269</v>
      </c>
      <c r="B402" s="1" t="s">
        <v>655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>
      <c r="A403" s="31" t="s">
        <v>269</v>
      </c>
      <c r="B403" s="1" t="s">
        <v>656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>
      <c r="A404" s="31" t="s">
        <v>269</v>
      </c>
      <c r="B404" s="1" t="s">
        <v>657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>
      <c r="A405" s="31" t="s">
        <v>269</v>
      </c>
      <c r="B405" s="1" t="s">
        <v>658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>
      <c r="A406" s="31" t="s">
        <v>269</v>
      </c>
      <c r="B406" s="1" t="s">
        <v>659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>
      <c r="A407" s="31" t="s">
        <v>269</v>
      </c>
      <c r="B407" s="1" t="s">
        <v>660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>
      <c r="A408" s="31" t="s">
        <v>269</v>
      </c>
      <c r="B408" s="1" t="s">
        <v>661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>
      <c r="A409" s="31" t="s">
        <v>269</v>
      </c>
      <c r="B409" s="1" t="s">
        <v>662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>
      <c r="A410" s="31" t="s">
        <v>269</v>
      </c>
      <c r="B410" s="1" t="s">
        <v>663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>
      <c r="A411" s="31" t="s">
        <v>269</v>
      </c>
      <c r="B411" s="1" t="s">
        <v>664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>
      <c r="A412" s="31" t="s">
        <v>269</v>
      </c>
      <c r="B412" s="1" t="s">
        <v>665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>
      <c r="A413" s="31" t="s">
        <v>269</v>
      </c>
      <c r="B413" s="1" t="s">
        <v>666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>
      <c r="A414" s="31" t="s">
        <v>269</v>
      </c>
      <c r="B414" s="1" t="s">
        <v>667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>
      <c r="A415" s="31" t="s">
        <v>269</v>
      </c>
      <c r="B415" s="1" t="s">
        <v>668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>
      <c r="A416" s="31" t="s">
        <v>269</v>
      </c>
      <c r="B416" s="1" t="s">
        <v>669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>
      <c r="A417" s="31" t="s">
        <v>269</v>
      </c>
      <c r="B417" s="1" t="s">
        <v>670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>
      <c r="A418" s="31" t="s">
        <v>269</v>
      </c>
      <c r="B418" s="1" t="s">
        <v>671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>
      <c r="A419" s="31" t="s">
        <v>269</v>
      </c>
      <c r="B419" s="1" t="s">
        <v>672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>
      <c r="A420" s="31" t="s">
        <v>269</v>
      </c>
      <c r="B420" s="1" t="s">
        <v>673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>
      <c r="A421" s="31" t="s">
        <v>269</v>
      </c>
      <c r="B421" s="1" t="s">
        <v>674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>
      <c r="A422" s="31" t="s">
        <v>269</v>
      </c>
      <c r="B422" s="1" t="s">
        <v>675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>
      <c r="A423" s="31" t="s">
        <v>269</v>
      </c>
      <c r="B423" s="1" t="s">
        <v>676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>
      <c r="A424" s="31" t="s">
        <v>269</v>
      </c>
      <c r="B424" s="1" t="s">
        <v>677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>
      <c r="A425" s="31" t="s">
        <v>269</v>
      </c>
      <c r="B425" s="1" t="s">
        <v>678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>
      <c r="A426" s="31" t="s">
        <v>269</v>
      </c>
      <c r="B426" s="1" t="s">
        <v>679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>
      <c r="A427" s="31" t="s">
        <v>269</v>
      </c>
      <c r="B427" s="1" t="s">
        <v>680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>
      <c r="A428" s="31" t="s">
        <v>269</v>
      </c>
      <c r="B428" s="1" t="s">
        <v>681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>
      <c r="A429" s="31" t="s">
        <v>269</v>
      </c>
      <c r="B429" s="1" t="s">
        <v>682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>
      <c r="A430" s="31" t="s">
        <v>269</v>
      </c>
      <c r="B430" s="1" t="s">
        <v>683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>
      <c r="A431" s="31" t="s">
        <v>269</v>
      </c>
      <c r="B431" s="1" t="s">
        <v>684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>
      <c r="A432" s="31" t="s">
        <v>269</v>
      </c>
      <c r="B432" s="1" t="s">
        <v>685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>
      <c r="A433" s="31" t="s">
        <v>269</v>
      </c>
      <c r="B433" s="1" t="s">
        <v>686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>
      <c r="A434" s="31" t="s">
        <v>269</v>
      </c>
      <c r="B434" s="1" t="s">
        <v>687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>
      <c r="A435" s="31" t="s">
        <v>269</v>
      </c>
      <c r="B435" s="1" t="s">
        <v>688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>
      <c r="A436" s="31" t="s">
        <v>269</v>
      </c>
      <c r="B436" s="1" t="s">
        <v>689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>
      <c r="A437" s="31" t="s">
        <v>269</v>
      </c>
      <c r="B437" s="1" t="s">
        <v>690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>
      <c r="A438" s="31" t="s">
        <v>269</v>
      </c>
      <c r="B438" s="1" t="s">
        <v>691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>
      <c r="A439" s="31" t="s">
        <v>269</v>
      </c>
      <c r="B439" s="1" t="s">
        <v>692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>
      <c r="A440" s="31" t="s">
        <v>269</v>
      </c>
      <c r="B440" s="1" t="s">
        <v>693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>
      <c r="A441" s="31" t="s">
        <v>269</v>
      </c>
      <c r="B441" s="1" t="s">
        <v>694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>
      <c r="A442" s="31" t="s">
        <v>269</v>
      </c>
      <c r="B442" s="1" t="s">
        <v>695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>
      <c r="A443" s="31" t="s">
        <v>269</v>
      </c>
      <c r="B443" s="1" t="s">
        <v>696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>
      <c r="A444" s="31" t="s">
        <v>269</v>
      </c>
      <c r="B444" s="1" t="s">
        <v>697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>
      <c r="A445" s="31" t="s">
        <v>269</v>
      </c>
      <c r="B445" s="1" t="s">
        <v>698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>
      <c r="A446" s="31" t="s">
        <v>269</v>
      </c>
      <c r="B446" s="1" t="s">
        <v>699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>
      <c r="A447" s="31" t="s">
        <v>269</v>
      </c>
      <c r="B447" s="1" t="s">
        <v>700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>
      <c r="A448" s="31" t="s">
        <v>269</v>
      </c>
      <c r="B448" s="1" t="s">
        <v>701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>
      <c r="A449" s="31" t="s">
        <v>269</v>
      </c>
      <c r="B449" s="1" t="s">
        <v>702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>
      <c r="A450" s="31" t="s">
        <v>269</v>
      </c>
      <c r="B450" s="1" t="s">
        <v>703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>
      <c r="A451" s="31" t="s">
        <v>269</v>
      </c>
      <c r="B451" s="1" t="s">
        <v>704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>
      <c r="A452" s="31" t="s">
        <v>269</v>
      </c>
      <c r="B452" s="1" t="s">
        <v>705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>
      <c r="A453" s="31" t="s">
        <v>269</v>
      </c>
      <c r="B453" s="1" t="s">
        <v>706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>
      <c r="A454" s="31" t="s">
        <v>269</v>
      </c>
      <c r="B454" s="1" t="s">
        <v>707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>
      <c r="A455" s="31" t="s">
        <v>269</v>
      </c>
      <c r="B455" s="1" t="s">
        <v>708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>
      <c r="A456" s="31" t="s">
        <v>269</v>
      </c>
      <c r="B456" s="1" t="s">
        <v>709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>
      <c r="A457" s="31" t="s">
        <v>269</v>
      </c>
      <c r="B457" s="1" t="s">
        <v>710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>
      <c r="A458" s="31" t="s">
        <v>269</v>
      </c>
      <c r="B458" s="1" t="s">
        <v>711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>
      <c r="A459" s="31" t="s">
        <v>269</v>
      </c>
      <c r="B459" s="1" t="s">
        <v>712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>
      <c r="A460" s="31" t="s">
        <v>269</v>
      </c>
      <c r="B460" s="1" t="s">
        <v>713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>
      <c r="A461" s="31" t="s">
        <v>269</v>
      </c>
      <c r="B461" s="1" t="s">
        <v>714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>
      <c r="A462" s="31" t="s">
        <v>269</v>
      </c>
      <c r="B462" s="1" t="s">
        <v>715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>
      <c r="A463" s="31" t="s">
        <v>269</v>
      </c>
      <c r="B463" s="1" t="s">
        <v>716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>
      <c r="A464" s="31" t="s">
        <v>269</v>
      </c>
      <c r="B464" s="1" t="s">
        <v>717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>
      <c r="A465" s="31" t="s">
        <v>269</v>
      </c>
      <c r="B465" s="1" t="s">
        <v>718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>
      <c r="A466" s="31" t="s">
        <v>269</v>
      </c>
      <c r="B466" s="1" t="s">
        <v>719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>
      <c r="A467" s="31" t="s">
        <v>269</v>
      </c>
      <c r="B467" s="1" t="s">
        <v>720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>
      <c r="A468" s="31" t="s">
        <v>269</v>
      </c>
      <c r="B468" s="1" t="s">
        <v>721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>
      <c r="A469" s="31" t="s">
        <v>269</v>
      </c>
      <c r="B469" s="1" t="s">
        <v>722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>
      <c r="A470" s="31" t="s">
        <v>269</v>
      </c>
      <c r="B470" s="1" t="s">
        <v>723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>
      <c r="A471" s="31" t="s">
        <v>269</v>
      </c>
      <c r="B471" s="1" t="s">
        <v>724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>
      <c r="A472" s="31" t="s">
        <v>269</v>
      </c>
      <c r="B472" s="1" t="s">
        <v>725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>
      <c r="A473" s="31" t="s">
        <v>269</v>
      </c>
      <c r="B473" s="1" t="s">
        <v>726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>
      <c r="A474" s="31" t="s">
        <v>269</v>
      </c>
      <c r="B474" s="1" t="s">
        <v>727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>
      <c r="A475" s="31" t="s">
        <v>269</v>
      </c>
      <c r="B475" s="1" t="s">
        <v>728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>
      <c r="A476" s="31" t="s">
        <v>269</v>
      </c>
      <c r="B476" s="1" t="s">
        <v>729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>
      <c r="A477" s="31" t="s">
        <v>269</v>
      </c>
      <c r="B477" s="1" t="s">
        <v>730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>
      <c r="A478" s="31" t="s">
        <v>269</v>
      </c>
      <c r="B478" s="1" t="s">
        <v>731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>
      <c r="A479" s="31" t="s">
        <v>269</v>
      </c>
      <c r="B479" s="1" t="s">
        <v>732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>
      <c r="A480" s="31" t="s">
        <v>269</v>
      </c>
      <c r="B480" s="1" t="s">
        <v>733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>
      <c r="A481" s="31" t="s">
        <v>269</v>
      </c>
      <c r="B481" s="1" t="s">
        <v>734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>
      <c r="A482" s="31" t="s">
        <v>269</v>
      </c>
      <c r="B482" s="1" t="s">
        <v>735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>
      <c r="A483" s="31" t="s">
        <v>269</v>
      </c>
      <c r="B483" s="1" t="s">
        <v>736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>
      <c r="A484" s="31" t="s">
        <v>269</v>
      </c>
      <c r="B484" s="1" t="s">
        <v>737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>
      <c r="A485" s="31" t="s">
        <v>269</v>
      </c>
      <c r="B485" s="1" t="s">
        <v>738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>
      <c r="A486" s="31" t="s">
        <v>269</v>
      </c>
      <c r="B486" s="1" t="s">
        <v>739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>
      <c r="A487" s="31" t="s">
        <v>269</v>
      </c>
      <c r="B487" s="1" t="s">
        <v>740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>
      <c r="A488" s="31" t="s">
        <v>269</v>
      </c>
      <c r="B488" s="1" t="s">
        <v>741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>
      <c r="A489" s="31" t="s">
        <v>269</v>
      </c>
      <c r="B489" s="1" t="s">
        <v>742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>
      <c r="A490" s="31" t="s">
        <v>269</v>
      </c>
      <c r="B490" s="1" t="s">
        <v>743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>
      <c r="A491" s="31" t="s">
        <v>269</v>
      </c>
      <c r="B491" s="1" t="s">
        <v>744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>
      <c r="A492" s="31" t="s">
        <v>269</v>
      </c>
      <c r="B492" s="1" t="s">
        <v>745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>
      <c r="A493" s="31" t="s">
        <v>269</v>
      </c>
      <c r="B493" s="1" t="s">
        <v>746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>
      <c r="A494" s="31" t="s">
        <v>269</v>
      </c>
      <c r="B494" s="1" t="s">
        <v>747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>
      <c r="A495" s="31" t="s">
        <v>269</v>
      </c>
      <c r="B495" s="1" t="s">
        <v>748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>
      <c r="A496" s="31" t="s">
        <v>269</v>
      </c>
      <c r="B496" s="1" t="s">
        <v>749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>
      <c r="A497" s="31" t="s">
        <v>269</v>
      </c>
      <c r="B497" s="1" t="s">
        <v>750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>
      <c r="A498" s="31" t="s">
        <v>269</v>
      </c>
      <c r="B498" s="1" t="s">
        <v>751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>
      <c r="A499" s="31" t="s">
        <v>269</v>
      </c>
      <c r="B499" s="1" t="s">
        <v>752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>
      <c r="A500" s="31" t="s">
        <v>269</v>
      </c>
      <c r="B500" s="1" t="s">
        <v>753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>
      <c r="A501" s="31" t="s">
        <v>269</v>
      </c>
      <c r="B501" s="1" t="s">
        <v>754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>
      <c r="A502" s="31" t="s">
        <v>269</v>
      </c>
      <c r="B502" s="1" t="s">
        <v>755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>
      <c r="A503" s="31" t="s">
        <v>269</v>
      </c>
      <c r="B503" s="1" t="s">
        <v>756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>
      <c r="A504" s="31" t="s">
        <v>269</v>
      </c>
      <c r="B504" s="1" t="s">
        <v>757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>
      <c r="A505" s="31" t="s">
        <v>269</v>
      </c>
      <c r="B505" s="1" t="s">
        <v>758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>
      <c r="A506" s="31" t="s">
        <v>269</v>
      </c>
      <c r="B506" s="1" t="s">
        <v>759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>
      <c r="A507" s="31" t="s">
        <v>269</v>
      </c>
      <c r="B507" s="1" t="s">
        <v>760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>
      <c r="A508" s="31" t="s">
        <v>269</v>
      </c>
      <c r="B508" s="1" t="s">
        <v>761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>
      <c r="A509" s="31" t="s">
        <v>269</v>
      </c>
      <c r="B509" s="1" t="s">
        <v>762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>
      <c r="A510" s="31" t="s">
        <v>269</v>
      </c>
      <c r="B510" s="1" t="s">
        <v>763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>
      <c r="A511" s="31" t="s">
        <v>269</v>
      </c>
      <c r="B511" s="1" t="s">
        <v>764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>
      <c r="A512" s="31" t="s">
        <v>269</v>
      </c>
      <c r="B512" s="1" t="s">
        <v>765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>
      <c r="A513" s="31" t="s">
        <v>269</v>
      </c>
      <c r="B513" s="1" t="s">
        <v>766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>
      <c r="A514" s="31" t="s">
        <v>269</v>
      </c>
      <c r="B514" s="1" t="s">
        <v>767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idden="1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.5" hidden="1">
      <c r="A516" s="31" t="s">
        <v>768</v>
      </c>
      <c r="B516" s="1" t="s">
        <v>769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.5" hidden="1">
      <c r="A517" s="31" t="s">
        <v>258</v>
      </c>
      <c r="B517" s="1" t="s">
        <v>770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.5" hidden="1">
      <c r="A518" s="31" t="s">
        <v>258</v>
      </c>
      <c r="B518" s="1" t="s">
        <v>771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.5" hidden="1">
      <c r="A519" s="31" t="s">
        <v>258</v>
      </c>
      <c r="B519" s="1" t="s">
        <v>772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.5" hidden="1">
      <c r="A520" s="31" t="s">
        <v>258</v>
      </c>
      <c r="B520" s="1" t="s">
        <v>773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.5" hidden="1">
      <c r="A521" s="31" t="s">
        <v>258</v>
      </c>
      <c r="B521" s="1" t="s">
        <v>774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.5" hidden="1">
      <c r="A522" s="31" t="s">
        <v>258</v>
      </c>
      <c r="B522" s="1" t="s">
        <v>775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.5" hidden="1">
      <c r="A523" s="31" t="s">
        <v>258</v>
      </c>
      <c r="B523" s="1" t="s">
        <v>776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.5" hidden="1">
      <c r="A524" s="31" t="s">
        <v>258</v>
      </c>
      <c r="B524" s="1" t="s">
        <v>777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.5" hidden="1">
      <c r="A525" s="31" t="s">
        <v>258</v>
      </c>
      <c r="B525" s="1" t="s">
        <v>778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.5" hidden="1">
      <c r="A526" s="31" t="s">
        <v>258</v>
      </c>
      <c r="B526" s="1" t="s">
        <v>779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.5" hidden="1">
      <c r="A527" s="31" t="s">
        <v>258</v>
      </c>
      <c r="B527" s="1" t="s">
        <v>780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.5" hidden="1">
      <c r="A528" s="31" t="s">
        <v>258</v>
      </c>
      <c r="B528" s="1" t="s">
        <v>781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.5" hidden="1">
      <c r="A529" s="31" t="s">
        <v>258</v>
      </c>
      <c r="B529" s="1" t="s">
        <v>782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.5" hidden="1">
      <c r="A530" s="31" t="s">
        <v>258</v>
      </c>
      <c r="B530" s="1" t="s">
        <v>783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.5" hidden="1">
      <c r="A531" s="31" t="s">
        <v>258</v>
      </c>
      <c r="B531" s="1" t="s">
        <v>784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.5" hidden="1">
      <c r="A532" s="31" t="s">
        <v>258</v>
      </c>
      <c r="B532" s="1" t="s">
        <v>785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.5" hidden="1">
      <c r="A533" s="31" t="s">
        <v>258</v>
      </c>
      <c r="B533" s="1" t="s">
        <v>786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.5" hidden="1">
      <c r="A534" s="31" t="s">
        <v>258</v>
      </c>
      <c r="B534" s="1" t="s">
        <v>787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.5" hidden="1">
      <c r="A535" s="31" t="s">
        <v>258</v>
      </c>
      <c r="B535" s="1" t="s">
        <v>788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.5" hidden="1">
      <c r="A536" s="31" t="s">
        <v>258</v>
      </c>
      <c r="B536" s="1" t="s">
        <v>789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.5" hidden="1">
      <c r="A537" s="31" t="s">
        <v>258</v>
      </c>
      <c r="B537" s="1" t="s">
        <v>790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idden="1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>
      <c r="A539" s="31" t="s">
        <v>262</v>
      </c>
      <c r="B539" s="1" t="s">
        <v>791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>
      <c r="A540" s="31" t="s">
        <v>262</v>
      </c>
      <c r="B540" s="1" t="s">
        <v>792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>
      <c r="A541" s="31" t="s">
        <v>262</v>
      </c>
      <c r="B541" s="1" t="s">
        <v>793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>
      <c r="A542" s="31" t="s">
        <v>262</v>
      </c>
      <c r="B542" s="1" t="s">
        <v>794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>
      <c r="A543" s="31" t="s">
        <v>262</v>
      </c>
      <c r="B543" s="1" t="s">
        <v>795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>
      <c r="A544" s="31" t="s">
        <v>262</v>
      </c>
      <c r="B544" s="1" t="s">
        <v>796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>
      <c r="A545" s="31" t="s">
        <v>262</v>
      </c>
      <c r="B545" s="1" t="s">
        <v>797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>
      <c r="A546" s="31" t="s">
        <v>262</v>
      </c>
      <c r="B546" s="1" t="s">
        <v>798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>
      <c r="A547" s="31" t="s">
        <v>262</v>
      </c>
      <c r="B547" s="1" t="s">
        <v>799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>
      <c r="A548" s="31" t="s">
        <v>262</v>
      </c>
      <c r="B548" s="1" t="s">
        <v>800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>
      <c r="A549" s="31" t="s">
        <v>262</v>
      </c>
      <c r="B549" s="1" t="s">
        <v>801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idden="1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>
      <c r="C552" s="21" t="s">
        <v>802</v>
      </c>
      <c r="D552" s="155" t="s">
        <v>803</v>
      </c>
      <c r="E552" s="155" t="s">
        <v>804</v>
      </c>
      <c r="F552" s="155" t="s">
        <v>805</v>
      </c>
      <c r="G552" s="155" t="s">
        <v>806</v>
      </c>
      <c r="H552" s="155" t="s">
        <v>807</v>
      </c>
      <c r="I552" s="155" t="s">
        <v>808</v>
      </c>
      <c r="J552" s="598" t="s">
        <v>809</v>
      </c>
      <c r="K552" s="601" t="s">
        <v>810</v>
      </c>
      <c r="L552" s="381" t="s">
        <v>811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>
      <c r="C553" s="21" t="s">
        <v>812</v>
      </c>
      <c r="D553" s="714" t="s">
        <v>813</v>
      </c>
      <c r="E553" s="715"/>
      <c r="F553" s="715"/>
      <c r="G553" s="715"/>
      <c r="H553" s="715"/>
      <c r="I553" s="716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>
      <c r="B554" s="11">
        <v>0</v>
      </c>
      <c r="C554" s="154" t="s">
        <v>814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>
      <c r="B555" s="11">
        <v>1</v>
      </c>
      <c r="C555" s="154" t="s">
        <v>815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599">
        <f>(I555-100%)/5</f>
        <v>5.3434493829175086E-3</v>
      </c>
      <c r="K555" s="602">
        <f t="shared" ref="K555:K568" si="155">(I555/100%)^(1/5)-1</f>
        <v>5.2872431120358776E-3</v>
      </c>
      <c r="L555" s="597">
        <v>5.2872431120358776E-3</v>
      </c>
      <c r="M555" s="593"/>
      <c r="N555" s="593"/>
      <c r="O555" s="59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>
      <c r="B556" s="11">
        <v>2</v>
      </c>
      <c r="C556" s="154" t="s">
        <v>816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599">
        <f t="shared" ref="J556:J568" si="156">(I556-100%)/5</f>
        <v>-1.8128348296883191E-2</v>
      </c>
      <c r="K556" s="602">
        <f t="shared" si="155"/>
        <v>-1.8823804738367533E-2</v>
      </c>
      <c r="L556" s="597">
        <v>-1.8823804738367533E-2</v>
      </c>
      <c r="M556" s="593"/>
      <c r="N556" s="593"/>
      <c r="O556" s="59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>
      <c r="B557" s="11">
        <v>3</v>
      </c>
      <c r="C557" s="154" t="s">
        <v>817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599">
        <f t="shared" si="156"/>
        <v>2.2738637456956524E-2</v>
      </c>
      <c r="K557" s="602">
        <f t="shared" si="155"/>
        <v>2.1769918371808084E-2</v>
      </c>
      <c r="L557" s="597">
        <v>2.1769918371808084E-2</v>
      </c>
      <c r="M557" s="593"/>
      <c r="N557" s="593"/>
      <c r="O557" s="59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>
      <c r="B558" s="11">
        <v>4</v>
      </c>
      <c r="C558" s="154" t="s">
        <v>818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599">
        <f t="shared" si="156"/>
        <v>-4.8867768633311217E-3</v>
      </c>
      <c r="K558" s="602">
        <f t="shared" si="155"/>
        <v>-4.9352504369472028E-3</v>
      </c>
      <c r="L558" s="597">
        <v>-4.9352504369472028E-3</v>
      </c>
      <c r="M558" s="593"/>
      <c r="N558" s="593"/>
      <c r="O558" s="59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>
      <c r="B559" s="11">
        <v>5</v>
      </c>
      <c r="C559" s="154" t="s">
        <v>819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599">
        <f t="shared" si="156"/>
        <v>-1.5032643792316502E-3</v>
      </c>
      <c r="K559" s="602">
        <f t="shared" si="155"/>
        <v>-1.5078044771719146E-3</v>
      </c>
      <c r="L559" s="597">
        <v>-1.5078044771719146E-3</v>
      </c>
      <c r="M559" s="593"/>
      <c r="N559" s="593"/>
      <c r="O559" s="59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>
      <c r="B560" s="11">
        <v>6</v>
      </c>
      <c r="C560" s="591" t="s">
        <v>820</v>
      </c>
      <c r="D560" s="592">
        <v>1.0101978885143685</v>
      </c>
      <c r="E560" s="592">
        <v>1.0158417431734368</v>
      </c>
      <c r="F560" s="592">
        <v>1.0219028338714957</v>
      </c>
      <c r="G560" s="592">
        <v>1.0280568686265446</v>
      </c>
      <c r="H560" s="592">
        <v>1.0345147935582482</v>
      </c>
      <c r="I560" s="592">
        <v>1.0406315337231495</v>
      </c>
      <c r="J560" s="614">
        <f t="shared" si="156"/>
        <v>8.1263067446299079E-3</v>
      </c>
      <c r="K560" s="615">
        <f t="shared" si="155"/>
        <v>7.9973639975556843E-3</v>
      </c>
      <c r="L560" s="597">
        <v>7.9973639975556808E-3</v>
      </c>
      <c r="M560" s="593"/>
      <c r="N560" s="593"/>
      <c r="O560" s="594"/>
      <c r="P560" s="13"/>
      <c r="Q560" s="595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>
      <c r="B561" s="11">
        <v>7</v>
      </c>
      <c r="C561" s="154" t="s">
        <v>821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599">
        <f t="shared" si="156"/>
        <v>1.2371316373588615E-2</v>
      </c>
      <c r="K561" s="602">
        <f t="shared" si="155"/>
        <v>1.2076108105830263E-2</v>
      </c>
      <c r="L561" s="597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>
      <c r="B562" s="11">
        <v>8</v>
      </c>
      <c r="C562" s="154" t="s">
        <v>822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599">
        <f t="shared" si="156"/>
        <v>1.3698389364979847E-2</v>
      </c>
      <c r="K562" s="602">
        <f t="shared" si="155"/>
        <v>1.3337817363712645E-2</v>
      </c>
      <c r="L562" s="597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>
      <c r="B563" s="11">
        <v>9</v>
      </c>
      <c r="C563" s="154" t="s">
        <v>823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599">
        <f t="shared" si="156"/>
        <v>1.2199814326934399E-2</v>
      </c>
      <c r="K563" s="602">
        <f t="shared" si="155"/>
        <v>1.1912593350478673E-2</v>
      </c>
      <c r="L563" s="597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>
      <c r="B564" s="11">
        <v>10</v>
      </c>
      <c r="C564" s="154" t="s">
        <v>824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599">
        <f t="shared" si="156"/>
        <v>1.4195529907901738E-2</v>
      </c>
      <c r="K564" s="602">
        <f t="shared" si="155"/>
        <v>1.3808858053341311E-2</v>
      </c>
      <c r="L564" s="597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>
      <c r="B565" s="11">
        <v>11</v>
      </c>
      <c r="C565" s="154" t="s">
        <v>825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599">
        <f t="shared" si="156"/>
        <v>1.2288879839011191E-2</v>
      </c>
      <c r="K565" s="602">
        <f t="shared" si="155"/>
        <v>1.1997524042871577E-2</v>
      </c>
      <c r="L565" s="597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>
      <c r="B566" s="11">
        <v>12</v>
      </c>
      <c r="C566" s="154" t="s">
        <v>826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599">
        <f t="shared" si="156"/>
        <v>1.3934702212159689E-2</v>
      </c>
      <c r="K566" s="602">
        <f t="shared" si="155"/>
        <v>1.3561832989988032E-2</v>
      </c>
      <c r="L566" s="597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>
      <c r="B567" s="11">
        <v>13</v>
      </c>
      <c r="C567" s="154" t="s">
        <v>827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599">
        <f t="shared" si="156"/>
        <v>2.8002130470530639E-2</v>
      </c>
      <c r="K567" s="602">
        <f t="shared" si="155"/>
        <v>2.6553958189091009E-2</v>
      </c>
      <c r="L567" s="597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>
      <c r="B568" s="11">
        <v>14</v>
      </c>
      <c r="C568" s="154" t="s">
        <v>828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599">
        <f t="shared" si="156"/>
        <v>4.922470851308436E-3</v>
      </c>
      <c r="K568" s="602">
        <f t="shared" si="155"/>
        <v>4.8747129592989769E-3</v>
      </c>
      <c r="L568" s="597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>
      <c r="B569" s="11">
        <v>15</v>
      </c>
      <c r="C569" s="154"/>
      <c r="D569" s="158"/>
      <c r="E569" s="158"/>
      <c r="F569" s="158"/>
      <c r="G569" s="158"/>
      <c r="H569" s="158"/>
      <c r="I569" s="158"/>
      <c r="J569" s="600" t="s">
        <v>829</v>
      </c>
      <c r="K569" s="6"/>
      <c r="L569" s="380" t="s">
        <v>830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>
      <c r="E570" s="15"/>
      <c r="L570" s="380" t="s">
        <v>831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>
      <c r="E571" s="15"/>
      <c r="L571" s="380" t="s">
        <v>832</v>
      </c>
      <c r="M571" s="13"/>
      <c r="N571" s="13"/>
      <c r="O571" s="13"/>
      <c r="P571" s="13"/>
      <c r="Q571" s="13"/>
      <c r="R571" s="596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>
      <c r="C572" s="616" t="s">
        <v>833</v>
      </c>
      <c r="E572" s="15"/>
      <c r="L572" s="380" t="s">
        <v>834</v>
      </c>
      <c r="M572" s="13"/>
      <c r="N572" s="13"/>
      <c r="O572" s="13"/>
      <c r="P572" s="13"/>
      <c r="Q572" s="13"/>
      <c r="R572" s="596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>
      <c r="E573" s="15"/>
      <c r="L573" s="380" t="s">
        <v>835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>
      <c r="E574" s="15"/>
      <c r="L574" s="380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>
      <c r="C575" s="11"/>
      <c r="L575" s="380" t="s">
        <v>836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>
      <c r="C576" s="11"/>
      <c r="L576" s="380" t="s">
        <v>837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7"/>
  <sheetViews>
    <sheetView showGridLines="0" zoomScale="80" zoomScaleNormal="80" zoomScaleSheetLayoutView="80" workbookViewId="0"/>
  </sheetViews>
  <sheetFormatPr defaultColWidth="8.81640625" defaultRowHeight="14.5"/>
  <cols>
    <col min="1" max="1" width="3.54296875" customWidth="1"/>
    <col min="2" max="2" width="50.54296875" style="1" customWidth="1"/>
    <col min="3" max="3" width="11.54296875" customWidth="1"/>
    <col min="4" max="8" width="11.726562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>
      <c r="B1" s="680" t="str">
        <f>'Unit costs'!B1</f>
        <v>Talazoparib for treating HER2-negative advanced breast cancer with germline BRCA mutations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8.15" customHeight="1">
      <c r="B2" s="423" t="s">
        <v>838</v>
      </c>
      <c r="C2" s="140" t="s">
        <v>135</v>
      </c>
      <c r="D2" s="140" t="s">
        <v>135</v>
      </c>
      <c r="E2" s="140" t="s">
        <v>135</v>
      </c>
      <c r="F2" s="140" t="s">
        <v>135</v>
      </c>
      <c r="G2" s="140" t="s">
        <v>135</v>
      </c>
      <c r="H2" s="140"/>
      <c r="I2" s="140" t="s">
        <v>135</v>
      </c>
      <c r="J2" s="140" t="s">
        <v>135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>
      <c r="B3" s="143" t="s">
        <v>135</v>
      </c>
      <c r="C3" s="146" t="s">
        <v>135</v>
      </c>
      <c r="D3" s="146" t="s">
        <v>135</v>
      </c>
      <c r="E3" s="146" t="s">
        <v>135</v>
      </c>
      <c r="F3" s="146" t="s">
        <v>135</v>
      </c>
      <c r="G3" s="146" t="s">
        <v>135</v>
      </c>
      <c r="H3" s="146" t="s">
        <v>135</v>
      </c>
      <c r="I3" s="146" t="s">
        <v>135</v>
      </c>
      <c r="J3" s="146" t="s">
        <v>135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75" customFormat="1">
      <c r="B4" s="280" t="s">
        <v>839</v>
      </c>
      <c r="F4" s="146"/>
      <c r="G4" s="146"/>
      <c r="H4" s="146"/>
      <c r="I4" s="146"/>
      <c r="J4" s="146" t="s">
        <v>135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75" customFormat="1">
      <c r="B5" s="280" t="s">
        <v>840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75" customFormat="1">
      <c r="B6" s="280"/>
      <c r="C6" s="146" t="s">
        <v>135</v>
      </c>
      <c r="D6" s="146" t="s">
        <v>135</v>
      </c>
      <c r="E6" s="146"/>
      <c r="F6" s="146"/>
      <c r="G6" s="146"/>
      <c r="H6" s="146"/>
      <c r="I6" s="146" t="s">
        <v>135</v>
      </c>
      <c r="J6" s="146" t="s">
        <v>135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75" customFormat="1" ht="43.5">
      <c r="B7" s="294" t="s">
        <v>196</v>
      </c>
      <c r="C7" s="306"/>
      <c r="D7" s="463" t="s">
        <v>841</v>
      </c>
      <c r="E7" s="307" t="s">
        <v>60</v>
      </c>
      <c r="F7" s="307" t="s">
        <v>61</v>
      </c>
      <c r="G7" s="308" t="s">
        <v>842</v>
      </c>
      <c r="H7" s="308" t="s">
        <v>843</v>
      </c>
      <c r="I7" s="307" t="s">
        <v>844</v>
      </c>
      <c r="K7" s="146"/>
      <c r="L7" s="146"/>
      <c r="N7" s="146"/>
      <c r="O7" s="146"/>
      <c r="P7" s="146"/>
      <c r="Q7" s="146"/>
      <c r="R7" s="146"/>
      <c r="S7" s="146"/>
      <c r="T7" s="146"/>
    </row>
    <row r="8" spans="2:34" s="164" customFormat="1">
      <c r="B8" s="248" t="s">
        <v>196</v>
      </c>
      <c r="C8" s="201"/>
      <c r="D8" s="200">
        <f>'Inputs and eligible population'!F44</f>
        <v>302.11060687500003</v>
      </c>
      <c r="E8" s="200">
        <f>'Inputs and eligible population'!G44</f>
        <v>304.52669536570187</v>
      </c>
      <c r="F8" s="200">
        <f>'Inputs and eligible population'!H44</f>
        <v>306.96210619551414</v>
      </c>
      <c r="G8" s="200">
        <f>'Inputs and eligible population'!I44</f>
        <v>309.416993892216</v>
      </c>
      <c r="H8" s="200">
        <f>'Inputs and eligible population'!J44</f>
        <v>311.89151421940147</v>
      </c>
      <c r="I8" s="200">
        <f>'Inputs and eligible population'!K44</f>
        <v>314.38582418636281</v>
      </c>
      <c r="K8" s="146"/>
      <c r="L8" s="146"/>
    </row>
    <row r="9" spans="2:34" s="275" customFormat="1">
      <c r="B9" s="277" t="s">
        <v>135</v>
      </c>
      <c r="C9" s="146" t="s">
        <v>135</v>
      </c>
      <c r="D9" s="146" t="s">
        <v>135</v>
      </c>
      <c r="E9" s="146" t="s">
        <v>135</v>
      </c>
      <c r="F9" s="146" t="s">
        <v>135</v>
      </c>
      <c r="G9" s="146" t="s">
        <v>135</v>
      </c>
      <c r="H9" s="146"/>
      <c r="I9" s="146"/>
      <c r="K9" s="146"/>
      <c r="L9" s="146"/>
      <c r="N9" s="146"/>
      <c r="O9" s="146"/>
      <c r="P9" s="146"/>
      <c r="Q9" s="146"/>
      <c r="R9" s="146"/>
      <c r="S9" s="146"/>
      <c r="T9" s="146"/>
      <c r="AD9" s="309"/>
      <c r="AE9" s="309"/>
      <c r="AF9" s="309"/>
      <c r="AG9" s="309"/>
      <c r="AH9" s="309"/>
    </row>
    <row r="10" spans="2:34" s="275" customFormat="1">
      <c r="B10" s="382" t="s">
        <v>198</v>
      </c>
      <c r="C10" s="383"/>
      <c r="D10" s="384"/>
      <c r="E10" s="384"/>
      <c r="F10" s="384"/>
      <c r="G10" s="384"/>
      <c r="H10" s="384"/>
      <c r="I10" s="385"/>
      <c r="K10" s="146"/>
      <c r="L10" s="146"/>
      <c r="N10" s="146"/>
      <c r="O10" s="146"/>
      <c r="P10" s="146"/>
      <c r="Q10" s="146"/>
      <c r="R10" s="146"/>
      <c r="S10" s="146"/>
      <c r="T10" s="146"/>
    </row>
    <row r="11" spans="2:34" s="275" customFormat="1">
      <c r="B11" s="277"/>
      <c r="C11" s="146"/>
      <c r="D11" s="146"/>
      <c r="E11" s="146"/>
      <c r="F11" s="146"/>
      <c r="G11" s="146"/>
      <c r="H11" s="146"/>
      <c r="I11" s="146"/>
      <c r="N11" s="146"/>
      <c r="O11" s="146"/>
      <c r="P11" s="146"/>
      <c r="Q11" s="146"/>
      <c r="R11" s="146"/>
      <c r="S11" s="146"/>
      <c r="T11" s="146"/>
      <c r="AD11" s="309"/>
      <c r="AE11" s="309"/>
      <c r="AF11" s="309"/>
      <c r="AG11" s="309"/>
      <c r="AH11" s="309"/>
    </row>
    <row r="12" spans="2:34" s="275" customFormat="1">
      <c r="B12" s="316" t="s">
        <v>1033</v>
      </c>
      <c r="C12" s="310"/>
      <c r="D12" s="202"/>
      <c r="E12" s="202"/>
      <c r="F12" s="202"/>
      <c r="G12" s="202"/>
      <c r="H12" s="202"/>
      <c r="I12" s="203"/>
      <c r="N12" s="146"/>
      <c r="O12" s="146"/>
      <c r="P12" s="146"/>
      <c r="Q12" s="146"/>
      <c r="R12" s="146"/>
      <c r="S12" s="146"/>
      <c r="T12" s="146"/>
    </row>
    <row r="13" spans="2:34" s="275" customFormat="1">
      <c r="B13" s="391" t="s">
        <v>1072</v>
      </c>
      <c r="C13" s="392"/>
      <c r="D13" s="311">
        <f>'Inputs and eligible population'!E60*'Financial impact (cash)'!D8*'Unit costs'!$D$16</f>
        <v>0</v>
      </c>
      <c r="E13" s="311">
        <f>'Inputs and eligible population'!F60*'Financial impact (cash)'!E8*'Unit costs'!$D$16</f>
        <v>114.19751076213819</v>
      </c>
      <c r="F13" s="311">
        <f>'Inputs and eligible population'!G60*'Financial impact (cash)'!F8*'Unit costs'!$D$16</f>
        <v>145.8070004428692</v>
      </c>
      <c r="G13" s="311">
        <f>'Inputs and eligible population'!H60*'Financial impact (cash)'!G8*'Unit costs'!$D$16</f>
        <v>146.97307209880259</v>
      </c>
      <c r="H13" s="311">
        <f>'Inputs and eligible population'!I60*'Financial impact (cash)'!H8*'Unit costs'!$D$16</f>
        <v>148.14846925421568</v>
      </c>
      <c r="I13" s="311">
        <f>'Inputs and eligible population'!J60*'Financial impact (cash)'!I8*'Unit costs'!$D$16</f>
        <v>149.33326648852233</v>
      </c>
      <c r="N13" s="146"/>
      <c r="O13" s="146"/>
      <c r="P13" s="146"/>
      <c r="Q13" s="146"/>
      <c r="R13" s="146"/>
      <c r="S13" s="146"/>
      <c r="T13" s="146"/>
      <c r="V13" s="309"/>
      <c r="W13" s="309"/>
      <c r="X13" s="309"/>
      <c r="Y13" s="309"/>
      <c r="Z13" s="309"/>
      <c r="AA13" s="309"/>
      <c r="AC13" s="309"/>
      <c r="AD13" s="309"/>
      <c r="AE13" s="309"/>
      <c r="AF13" s="309"/>
      <c r="AG13" s="309"/>
      <c r="AH13" s="309"/>
    </row>
    <row r="14" spans="2:34" s="275" customFormat="1">
      <c r="B14" s="391" t="s">
        <v>1073</v>
      </c>
      <c r="C14" s="647"/>
      <c r="D14" s="311">
        <f>'Inputs and eligible population'!E60*'Unit costs'!$D$17*'Financial impact (cash)'!D8</f>
        <v>0</v>
      </c>
      <c r="E14" s="311">
        <f>'Inputs and eligible population'!F60*'Unit costs'!$D$17*'Financial impact (cash)'!E8</f>
        <v>114.19751076213819</v>
      </c>
      <c r="F14" s="311">
        <f>'Inputs and eligible population'!G60*'Unit costs'!$D$17*'Financial impact (cash)'!F8</f>
        <v>145.8070004428692</v>
      </c>
      <c r="G14" s="311">
        <f>'Inputs and eligible population'!H60*'Unit costs'!$D$17*'Financial impact (cash)'!G8</f>
        <v>146.97307209880259</v>
      </c>
      <c r="H14" s="311">
        <f>'Inputs and eligible population'!I60*'Unit costs'!$D$17*'Financial impact (cash)'!H8</f>
        <v>148.14846925421568</v>
      </c>
      <c r="I14" s="311">
        <f>'Inputs and eligible population'!J60*'Unit costs'!$D$17*'Financial impact (cash)'!I8</f>
        <v>149.33326648852233</v>
      </c>
      <c r="N14" s="146"/>
      <c r="O14" s="146"/>
      <c r="P14" s="146"/>
      <c r="Q14" s="146"/>
      <c r="R14" s="146"/>
      <c r="S14" s="146"/>
      <c r="T14" s="146"/>
      <c r="V14" s="309"/>
      <c r="W14" s="309"/>
      <c r="X14" s="309"/>
      <c r="Y14" s="309"/>
      <c r="Z14" s="309"/>
      <c r="AA14" s="309"/>
      <c r="AC14" s="309"/>
      <c r="AD14" s="309"/>
      <c r="AE14" s="309"/>
      <c r="AF14" s="309"/>
      <c r="AG14" s="309"/>
      <c r="AH14" s="309"/>
    </row>
    <row r="15" spans="2:34" s="275" customFormat="1">
      <c r="B15" s="317"/>
      <c r="C15" s="204"/>
      <c r="D15" s="205">
        <f t="shared" ref="D15:I15" si="0">SUM(D13:D14)</f>
        <v>0</v>
      </c>
      <c r="E15" s="205">
        <f t="shared" si="0"/>
        <v>228.39502152427639</v>
      </c>
      <c r="F15" s="205">
        <f t="shared" si="0"/>
        <v>291.61400088573839</v>
      </c>
      <c r="G15" s="205">
        <f t="shared" si="0"/>
        <v>293.94614419760518</v>
      </c>
      <c r="H15" s="205">
        <f t="shared" si="0"/>
        <v>296.29693850843137</v>
      </c>
      <c r="I15" s="205">
        <f t="shared" si="0"/>
        <v>298.66653297704465</v>
      </c>
      <c r="N15" s="146"/>
      <c r="O15" s="146"/>
      <c r="P15" s="146"/>
      <c r="Q15" s="146"/>
      <c r="R15" s="146"/>
      <c r="S15" s="146"/>
      <c r="T15" s="146"/>
      <c r="V15" s="309"/>
      <c r="W15" s="309"/>
      <c r="X15" s="309"/>
      <c r="Y15" s="309"/>
      <c r="Z15" s="309"/>
      <c r="AA15" s="309"/>
      <c r="AC15" s="309"/>
      <c r="AD15" s="309"/>
      <c r="AE15" s="309"/>
      <c r="AF15" s="309"/>
      <c r="AG15" s="309"/>
      <c r="AH15" s="309"/>
    </row>
    <row r="16" spans="2:34" s="275" customFormat="1">
      <c r="B16" s="318"/>
      <c r="C16" s="146"/>
      <c r="D16" s="146"/>
      <c r="E16" s="146"/>
      <c r="F16" s="146"/>
      <c r="G16" s="146"/>
      <c r="H16" s="146"/>
      <c r="I16" s="146"/>
      <c r="N16" s="146"/>
      <c r="O16" s="146"/>
      <c r="P16" s="146"/>
      <c r="Q16" s="146"/>
      <c r="R16" s="146"/>
      <c r="S16" s="146"/>
      <c r="T16" s="146"/>
      <c r="AD16" s="309"/>
      <c r="AE16" s="309"/>
      <c r="AF16" s="309"/>
      <c r="AG16" s="309"/>
      <c r="AH16" s="309"/>
    </row>
    <row r="17" spans="2:34" s="275" customFormat="1">
      <c r="B17" s="319" t="s">
        <v>845</v>
      </c>
      <c r="C17" s="312" t="s">
        <v>846</v>
      </c>
      <c r="D17" s="313" t="s">
        <v>199</v>
      </c>
      <c r="E17" s="313" t="s">
        <v>199</v>
      </c>
      <c r="F17" s="313" t="s">
        <v>199</v>
      </c>
      <c r="G17" s="313" t="s">
        <v>199</v>
      </c>
      <c r="H17" s="313" t="s">
        <v>199</v>
      </c>
      <c r="I17" s="313" t="s">
        <v>199</v>
      </c>
      <c r="N17" s="146"/>
      <c r="O17" s="146"/>
      <c r="P17" s="146"/>
      <c r="Q17" s="146"/>
      <c r="R17" s="146"/>
      <c r="S17" s="146"/>
      <c r="T17" s="146"/>
      <c r="AD17" s="309"/>
      <c r="AE17" s="309"/>
      <c r="AF17" s="309"/>
      <c r="AG17" s="309"/>
      <c r="AH17" s="309"/>
    </row>
    <row r="18" spans="2:34" s="275" customFormat="1">
      <c r="B18" s="390" t="s">
        <v>1072</v>
      </c>
      <c r="C18" s="314">
        <f>'Unit costs'!R10</f>
        <v>0</v>
      </c>
      <c r="D18" s="314">
        <f t="shared" ref="D18:I19" si="1">D13*$C18/1000</f>
        <v>0</v>
      </c>
      <c r="E18" s="314">
        <f t="shared" si="1"/>
        <v>0</v>
      </c>
      <c r="F18" s="314">
        <f t="shared" si="1"/>
        <v>0</v>
      </c>
      <c r="G18" s="314">
        <f t="shared" si="1"/>
        <v>0</v>
      </c>
      <c r="H18" s="314">
        <f t="shared" si="1"/>
        <v>0</v>
      </c>
      <c r="I18" s="314">
        <f t="shared" si="1"/>
        <v>0</v>
      </c>
      <c r="N18" s="146"/>
      <c r="O18" s="146"/>
      <c r="P18" s="146"/>
      <c r="Q18" s="146"/>
      <c r="R18" s="146"/>
      <c r="S18" s="146"/>
      <c r="T18" s="146"/>
      <c r="AD18" s="309"/>
      <c r="AE18" s="309"/>
      <c r="AF18" s="309"/>
      <c r="AG18" s="309"/>
      <c r="AH18" s="309"/>
    </row>
    <row r="19" spans="2:34" s="275" customFormat="1">
      <c r="B19" s="390" t="s">
        <v>1073</v>
      </c>
      <c r="C19" s="314">
        <f>'Unit costs'!R13</f>
        <v>0</v>
      </c>
      <c r="D19" s="314">
        <f t="shared" si="1"/>
        <v>0</v>
      </c>
      <c r="E19" s="314">
        <f t="shared" si="1"/>
        <v>0</v>
      </c>
      <c r="F19" s="314">
        <f t="shared" si="1"/>
        <v>0</v>
      </c>
      <c r="G19" s="314">
        <f t="shared" si="1"/>
        <v>0</v>
      </c>
      <c r="H19" s="314">
        <f t="shared" si="1"/>
        <v>0</v>
      </c>
      <c r="I19" s="314">
        <f t="shared" si="1"/>
        <v>0</v>
      </c>
      <c r="N19" s="146"/>
      <c r="O19" s="146"/>
      <c r="P19" s="146"/>
      <c r="Q19" s="146"/>
      <c r="R19" s="146"/>
      <c r="S19" s="146"/>
      <c r="T19" s="146"/>
      <c r="AD19" s="309"/>
      <c r="AE19" s="309"/>
      <c r="AF19" s="309"/>
      <c r="AG19" s="309"/>
      <c r="AH19" s="309"/>
    </row>
    <row r="20" spans="2:34" s="275" customFormat="1">
      <c r="B20" s="317" t="s">
        <v>847</v>
      </c>
      <c r="C20" s="649"/>
      <c r="D20" s="206">
        <f t="shared" ref="D20:I20" si="2">SUM(D18:D19)</f>
        <v>0</v>
      </c>
      <c r="E20" s="206">
        <f t="shared" si="2"/>
        <v>0</v>
      </c>
      <c r="F20" s="206">
        <f t="shared" si="2"/>
        <v>0</v>
      </c>
      <c r="G20" s="206">
        <f t="shared" si="2"/>
        <v>0</v>
      </c>
      <c r="H20" s="207">
        <f t="shared" si="2"/>
        <v>0</v>
      </c>
      <c r="I20" s="206">
        <f t="shared" si="2"/>
        <v>0</v>
      </c>
      <c r="J20" s="400"/>
      <c r="N20" s="146"/>
      <c r="O20" s="146"/>
      <c r="P20" s="146"/>
      <c r="Q20" s="146"/>
      <c r="R20" s="146"/>
      <c r="S20" s="146"/>
      <c r="T20" s="146"/>
      <c r="AD20" s="309"/>
      <c r="AE20" s="309"/>
      <c r="AF20" s="309"/>
      <c r="AG20" s="309"/>
      <c r="AH20" s="309"/>
    </row>
    <row r="21" spans="2:34" s="275" customFormat="1">
      <c r="B21" s="318"/>
      <c r="C21" s="146"/>
      <c r="D21" s="146"/>
      <c r="E21" s="146"/>
      <c r="F21" s="146"/>
      <c r="G21" s="146"/>
      <c r="H21" s="146"/>
      <c r="I21" s="146"/>
      <c r="N21" s="146"/>
      <c r="O21" s="146"/>
      <c r="P21" s="146"/>
      <c r="Q21" s="146"/>
      <c r="R21" s="146"/>
      <c r="S21" s="146"/>
      <c r="T21" s="146"/>
      <c r="AD21" s="309"/>
      <c r="AE21" s="309"/>
      <c r="AF21" s="309"/>
      <c r="AG21" s="309"/>
      <c r="AH21" s="309"/>
    </row>
    <row r="22" spans="2:34" s="275" customFormat="1">
      <c r="B22" s="424"/>
      <c r="C22" s="315"/>
      <c r="D22" s="399" t="s">
        <v>201</v>
      </c>
      <c r="E22" s="206">
        <f>E20-$D$20</f>
        <v>0</v>
      </c>
      <c r="F22" s="206">
        <f t="shared" ref="F22:I22" si="3">F20-$D$20</f>
        <v>0</v>
      </c>
      <c r="G22" s="206">
        <f t="shared" si="3"/>
        <v>0</v>
      </c>
      <c r="H22" s="206">
        <f t="shared" si="3"/>
        <v>0</v>
      </c>
      <c r="I22" s="206">
        <f t="shared" si="3"/>
        <v>0</v>
      </c>
      <c r="N22" s="146"/>
      <c r="O22" s="146"/>
      <c r="P22" s="146"/>
      <c r="Q22" s="146"/>
      <c r="R22" s="146"/>
      <c r="S22" s="146"/>
      <c r="T22" s="146"/>
      <c r="AD22" s="309"/>
      <c r="AE22" s="309"/>
      <c r="AF22" s="309"/>
      <c r="AG22" s="309"/>
      <c r="AH22" s="309"/>
    </row>
    <row r="23" spans="2:34" s="275" customFormat="1">
      <c r="B23" s="424"/>
      <c r="C23" s="315"/>
      <c r="D23" s="321" t="s">
        <v>848</v>
      </c>
      <c r="E23" s="206">
        <f>E22</f>
        <v>0</v>
      </c>
      <c r="F23" s="208">
        <f>F22-E22</f>
        <v>0</v>
      </c>
      <c r="G23" s="208">
        <f t="shared" ref="G23:I23" si="4">G22-F22</f>
        <v>0</v>
      </c>
      <c r="H23" s="208">
        <f t="shared" si="4"/>
        <v>0</v>
      </c>
      <c r="I23" s="208">
        <f t="shared" si="4"/>
        <v>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AD23" s="309"/>
      <c r="AE23" s="309"/>
      <c r="AF23" s="309"/>
      <c r="AG23" s="309"/>
      <c r="AH23" s="309"/>
    </row>
    <row r="25" spans="2:34">
      <c r="J25" s="275"/>
      <c r="K25" s="275"/>
    </row>
    <row r="26" spans="2:34">
      <c r="J26" s="275"/>
      <c r="K26" s="275"/>
    </row>
    <row r="27" spans="2:34">
      <c r="J27" s="275"/>
      <c r="K27" s="275"/>
    </row>
  </sheetData>
  <sheetProtection algorithmName="SHA-512" hashValue="WH7bWWZxLmLhMOxEVyCMrcXBe30LMptCp2JWOQmXOCaOPHo6/skVDSqiD2x8X9rZUaOQc5jHonu5xh14YFUNvQ==" saltValue="1XVgRbzLdM0FMvVJwx88qw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149"/>
  <sheetViews>
    <sheetView showGridLines="0" zoomScale="80" zoomScaleNormal="80" zoomScaleSheetLayoutView="30" workbookViewId="0"/>
  </sheetViews>
  <sheetFormatPr defaultColWidth="8.81640625" defaultRowHeight="14.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7" width="11.7265625" customWidth="1"/>
    <col min="18" max="18" width="11.453125" customWidth="1"/>
    <col min="19" max="19" width="11.7265625" customWidth="1"/>
    <col min="20" max="25" width="10.81640625" customWidth="1"/>
    <col min="27" max="40" width="0" hidden="1" customWidth="1"/>
  </cols>
  <sheetData>
    <row r="1" spans="1:39" ht="30" customHeight="1">
      <c r="B1" s="680" t="str">
        <f>'Unit costs'!B1</f>
        <v>Talazoparib for treating HER2-negative advanced breast cancer with germline BRCA mutations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>
      <c r="B2" s="235" t="s">
        <v>849</v>
      </c>
      <c r="C2" s="140" t="s">
        <v>135</v>
      </c>
      <c r="D2" s="140" t="s">
        <v>135</v>
      </c>
      <c r="E2" s="581"/>
      <c r="F2" s="140" t="s">
        <v>135</v>
      </c>
      <c r="G2" s="140" t="s">
        <v>135</v>
      </c>
      <c r="H2" s="140" t="s">
        <v>135</v>
      </c>
      <c r="I2" s="140" t="s">
        <v>135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5" customHeight="1">
      <c r="B3" s="143" t="s">
        <v>135</v>
      </c>
      <c r="C3" s="146" t="s">
        <v>135</v>
      </c>
      <c r="D3" s="146" t="s">
        <v>135</v>
      </c>
      <c r="F3" s="146" t="s">
        <v>135</v>
      </c>
      <c r="G3" s="146" t="s">
        <v>135</v>
      </c>
      <c r="H3" s="146" t="s">
        <v>135</v>
      </c>
      <c r="I3" s="146" t="s">
        <v>135</v>
      </c>
      <c r="J3" s="140"/>
      <c r="K3" s="140"/>
      <c r="L3" s="140"/>
      <c r="M3" s="140"/>
      <c r="N3" s="140"/>
      <c r="O3" s="140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39" ht="14.5" customHeight="1">
      <c r="B4" t="s">
        <v>850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5" customHeight="1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39" ht="43.5">
      <c r="B6" s="294" t="s">
        <v>196</v>
      </c>
      <c r="C6" s="230"/>
      <c r="D6" s="463" t="s">
        <v>841</v>
      </c>
      <c r="E6" s="292" t="s">
        <v>60</v>
      </c>
      <c r="F6" s="292" t="s">
        <v>61</v>
      </c>
      <c r="G6" s="181" t="s">
        <v>842</v>
      </c>
      <c r="H6" s="181" t="s">
        <v>843</v>
      </c>
      <c r="I6" s="292" t="s">
        <v>844</v>
      </c>
      <c r="K6" s="463" t="s">
        <v>841</v>
      </c>
      <c r="L6" s="292" t="s">
        <v>60</v>
      </c>
      <c r="M6" s="292" t="s">
        <v>61</v>
      </c>
      <c r="N6" s="181" t="s">
        <v>842</v>
      </c>
      <c r="O6" s="181" t="s">
        <v>843</v>
      </c>
      <c r="P6" s="292" t="s">
        <v>844</v>
      </c>
      <c r="Q6" s="146"/>
      <c r="R6" s="146"/>
      <c r="S6" s="146"/>
      <c r="T6" s="146"/>
      <c r="U6" s="146"/>
      <c r="V6" s="146"/>
      <c r="W6" s="146"/>
      <c r="X6" s="146"/>
      <c r="Y6" s="146"/>
      <c r="AI6" s="323"/>
      <c r="AJ6" s="323"/>
      <c r="AK6" s="323"/>
      <c r="AL6" s="323"/>
      <c r="AM6" s="323"/>
    </row>
    <row r="7" spans="1:39">
      <c r="B7" s="248" t="s">
        <v>196</v>
      </c>
      <c r="C7" s="184"/>
      <c r="D7" s="425">
        <f>'Inputs and eligible population'!F44</f>
        <v>302.11060687500003</v>
      </c>
      <c r="E7" s="425">
        <f>'Inputs and eligible population'!G44</f>
        <v>304.52669536570187</v>
      </c>
      <c r="F7" s="425">
        <f>'Inputs and eligible population'!H44</f>
        <v>306.96210619551414</v>
      </c>
      <c r="G7" s="425">
        <f>'Inputs and eligible population'!I44</f>
        <v>309.416993892216</v>
      </c>
      <c r="H7" s="425">
        <f>'Inputs and eligible population'!J44</f>
        <v>311.89151421940147</v>
      </c>
      <c r="I7" s="425">
        <f>'Inputs and eligible population'!K44</f>
        <v>314.38582418636281</v>
      </c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AI7" s="323"/>
      <c r="AJ7" s="323"/>
      <c r="AK7" s="323"/>
      <c r="AL7" s="323"/>
      <c r="AM7" s="323"/>
    </row>
    <row r="8" spans="1:39">
      <c r="B8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AI8" s="323"/>
      <c r="AJ8" s="323"/>
      <c r="AK8" s="323"/>
      <c r="AL8" s="323"/>
      <c r="AM8" s="323"/>
    </row>
    <row r="9" spans="1:39">
      <c r="B9" s="316" t="s">
        <v>851</v>
      </c>
      <c r="C9" s="481"/>
      <c r="D9" s="481"/>
      <c r="E9" s="482"/>
      <c r="F9" s="481"/>
      <c r="G9" s="483"/>
      <c r="H9" s="484"/>
      <c r="I9" s="484"/>
      <c r="J9" s="612"/>
      <c r="K9" s="288" t="s">
        <v>199</v>
      </c>
      <c r="L9" s="288" t="s">
        <v>199</v>
      </c>
      <c r="M9" s="288" t="s">
        <v>199</v>
      </c>
      <c r="N9" s="288" t="s">
        <v>199</v>
      </c>
      <c r="O9" s="288" t="s">
        <v>199</v>
      </c>
      <c r="P9" s="288" t="s">
        <v>199</v>
      </c>
      <c r="Q9" s="146"/>
      <c r="R9" s="146"/>
      <c r="S9" s="146"/>
      <c r="T9" s="146"/>
      <c r="U9" s="146"/>
      <c r="V9" s="146"/>
      <c r="W9" s="146"/>
      <c r="X9" s="146"/>
      <c r="Y9" s="146"/>
      <c r="AI9" s="323"/>
      <c r="AJ9" s="323"/>
      <c r="AK9" s="323"/>
      <c r="AL9" s="323"/>
      <c r="AM9" s="323"/>
    </row>
    <row r="10" spans="1:39">
      <c r="A10" s="334"/>
      <c r="B10" s="504" t="str">
        <f>B32</f>
        <v>First attendances</v>
      </c>
      <c r="C10" s="473"/>
      <c r="D10" s="458">
        <f>D36</f>
        <v>0</v>
      </c>
      <c r="E10" s="458">
        <f t="shared" ref="E10:I10" si="0">E36</f>
        <v>228.39502152427639</v>
      </c>
      <c r="F10" s="458">
        <f t="shared" si="0"/>
        <v>291.61400088573839</v>
      </c>
      <c r="G10" s="458">
        <f t="shared" si="0"/>
        <v>293.94614419760518</v>
      </c>
      <c r="H10" s="458">
        <f t="shared" si="0"/>
        <v>296.29693850843137</v>
      </c>
      <c r="I10" s="458">
        <f t="shared" si="0"/>
        <v>298.66653297704465</v>
      </c>
      <c r="K10" s="228"/>
      <c r="L10" s="228"/>
      <c r="M10" s="228"/>
      <c r="N10" s="228"/>
      <c r="O10" s="457"/>
      <c r="P10" s="457"/>
      <c r="Q10" s="146"/>
      <c r="R10" s="146"/>
      <c r="S10" s="146"/>
      <c r="T10" s="146"/>
      <c r="U10" s="146"/>
      <c r="V10" s="146"/>
      <c r="W10" s="146"/>
      <c r="X10" s="146"/>
      <c r="Y10" s="146"/>
      <c r="AI10" s="323"/>
      <c r="AJ10" s="323"/>
      <c r="AK10" s="323"/>
      <c r="AL10" s="323"/>
      <c r="AM10" s="323"/>
    </row>
    <row r="11" spans="1:39">
      <c r="A11" s="334"/>
      <c r="B11" s="504" t="str">
        <f>B39</f>
        <v>Follow up attendances</v>
      </c>
      <c r="C11" s="473"/>
      <c r="D11" s="458">
        <f>D43</f>
        <v>0</v>
      </c>
      <c r="E11" s="458">
        <f t="shared" ref="E11:I11" si="1">E43</f>
        <v>2512.3452367670402</v>
      </c>
      <c r="F11" s="458">
        <f t="shared" si="1"/>
        <v>3207.7540097431224</v>
      </c>
      <c r="G11" s="458">
        <f t="shared" si="1"/>
        <v>3233.4075861736569</v>
      </c>
      <c r="H11" s="458">
        <f t="shared" si="1"/>
        <v>3259.2663235927448</v>
      </c>
      <c r="I11" s="458">
        <f t="shared" si="1"/>
        <v>3285.331862747491</v>
      </c>
      <c r="K11" s="228"/>
      <c r="L11" s="228"/>
      <c r="M11" s="228"/>
      <c r="N11" s="228"/>
      <c r="O11" s="457"/>
      <c r="P11" s="457"/>
      <c r="Q11" s="146"/>
      <c r="R11" s="146"/>
      <c r="S11" s="146"/>
      <c r="T11" s="146"/>
      <c r="U11" s="146"/>
      <c r="V11" s="146"/>
      <c r="W11" s="146"/>
      <c r="X11" s="146"/>
      <c r="Y11" s="146"/>
      <c r="AI11" s="323"/>
      <c r="AJ11" s="323"/>
      <c r="AK11" s="323"/>
      <c r="AL11" s="323"/>
      <c r="AM11" s="323"/>
    </row>
    <row r="12" spans="1:39">
      <c r="A12" s="334"/>
      <c r="B12" s="504" t="s">
        <v>1097</v>
      </c>
      <c r="C12" s="473"/>
      <c r="D12" s="458">
        <f>D49</f>
        <v>0</v>
      </c>
      <c r="E12" s="458">
        <f t="shared" ref="E12:I12" si="2">E49</f>
        <v>2512.3452367670402</v>
      </c>
      <c r="F12" s="458">
        <f t="shared" si="2"/>
        <v>3207.7540097431224</v>
      </c>
      <c r="G12" s="458">
        <f t="shared" si="2"/>
        <v>3233.4075861736569</v>
      </c>
      <c r="H12" s="458">
        <f t="shared" si="2"/>
        <v>3259.2663235927448</v>
      </c>
      <c r="I12" s="458">
        <f t="shared" si="2"/>
        <v>3285.331862747491</v>
      </c>
      <c r="K12" s="228"/>
      <c r="L12" s="228"/>
      <c r="M12" s="228"/>
      <c r="N12" s="228"/>
      <c r="O12" s="457"/>
      <c r="P12" s="457"/>
      <c r="Q12" s="146"/>
      <c r="R12" s="146"/>
      <c r="S12" s="146"/>
      <c r="T12" s="146"/>
      <c r="U12" s="146"/>
      <c r="V12" s="146"/>
      <c r="W12" s="146"/>
      <c r="X12" s="146"/>
      <c r="Y12" s="146"/>
      <c r="AI12" s="323"/>
      <c r="AJ12" s="323"/>
      <c r="AK12" s="323"/>
      <c r="AL12" s="323"/>
      <c r="AM12" s="323"/>
    </row>
    <row r="13" spans="1:39">
      <c r="A13" s="334"/>
      <c r="B13" s="485" t="str">
        <f>B52</f>
        <v>Administrations - hospital based</v>
      </c>
      <c r="C13" s="459"/>
      <c r="D13" s="458">
        <f>D55</f>
        <v>0</v>
      </c>
      <c r="E13" s="458">
        <f t="shared" ref="E13:I13" si="3">E55</f>
        <v>1370.3701291456582</v>
      </c>
      <c r="F13" s="458">
        <f t="shared" si="3"/>
        <v>1749.6840053144304</v>
      </c>
      <c r="G13" s="458">
        <f t="shared" si="3"/>
        <v>1763.676865185631</v>
      </c>
      <c r="H13" s="458">
        <f t="shared" si="3"/>
        <v>1777.7816310505882</v>
      </c>
      <c r="I13" s="458">
        <f t="shared" si="3"/>
        <v>1791.9991978622679</v>
      </c>
      <c r="K13" s="228"/>
      <c r="L13" s="228"/>
      <c r="M13" s="228"/>
      <c r="N13" s="228"/>
      <c r="O13" s="457"/>
      <c r="P13" s="457"/>
      <c r="Q13" s="146"/>
      <c r="R13" s="146"/>
      <c r="S13" s="146"/>
      <c r="T13" s="146"/>
      <c r="U13" s="146"/>
      <c r="V13" s="146"/>
      <c r="W13" s="146"/>
      <c r="X13" s="146"/>
      <c r="Y13" s="146"/>
      <c r="AI13" s="323"/>
      <c r="AJ13" s="323"/>
      <c r="AK13" s="323"/>
      <c r="AL13" s="323"/>
      <c r="AM13" s="323"/>
    </row>
    <row r="14" spans="1:39">
      <c r="A14" s="334"/>
      <c r="B14" s="485" t="str">
        <f>B58</f>
        <v xml:space="preserve">Administrations - homecare </v>
      </c>
      <c r="C14" s="459"/>
      <c r="D14" s="458">
        <f>D61</f>
        <v>0</v>
      </c>
      <c r="E14" s="458">
        <f t="shared" ref="E14:I14" si="4">E61</f>
        <v>1256.1726183835201</v>
      </c>
      <c r="F14" s="458">
        <f t="shared" si="4"/>
        <v>1603.8770048715612</v>
      </c>
      <c r="G14" s="458">
        <f t="shared" si="4"/>
        <v>1616.7037930868285</v>
      </c>
      <c r="H14" s="458">
        <f t="shared" si="4"/>
        <v>1629.6331617963724</v>
      </c>
      <c r="I14" s="458">
        <f t="shared" si="4"/>
        <v>1642.6659313737455</v>
      </c>
      <c r="K14" s="329">
        <f>K61</f>
        <v>0</v>
      </c>
      <c r="L14" s="329">
        <f t="shared" ref="L14:P14" si="5">L61</f>
        <v>15.074071420602243</v>
      </c>
      <c r="M14" s="329">
        <f t="shared" si="5"/>
        <v>19.246524058458732</v>
      </c>
      <c r="N14" s="329">
        <f t="shared" si="5"/>
        <v>19.400445517041941</v>
      </c>
      <c r="O14" s="329">
        <f t="shared" si="5"/>
        <v>19.555597941556467</v>
      </c>
      <c r="P14" s="329">
        <f t="shared" si="5"/>
        <v>19.711991176484947</v>
      </c>
      <c r="Q14" s="146"/>
      <c r="R14" s="146"/>
      <c r="S14" s="146"/>
      <c r="T14" s="146"/>
      <c r="U14" s="146"/>
      <c r="V14" s="146"/>
      <c r="W14" s="146"/>
      <c r="X14" s="146"/>
      <c r="Y14" s="146"/>
      <c r="AI14" s="323"/>
      <c r="AJ14" s="323"/>
      <c r="AK14" s="323"/>
      <c r="AL14" s="323"/>
      <c r="AM14" s="323"/>
    </row>
    <row r="15" spans="1:39">
      <c r="A15" s="334"/>
      <c r="B15" s="485" t="str">
        <f>B64</f>
        <v>Administrations - number of cycles</v>
      </c>
      <c r="C15" s="459"/>
      <c r="D15" s="458">
        <f>D68</f>
        <v>0</v>
      </c>
      <c r="E15" s="458">
        <f t="shared" ref="E15:I15" si="6">E68</f>
        <v>2740.7402582913164</v>
      </c>
      <c r="F15" s="458">
        <f t="shared" si="6"/>
        <v>3499.3680106288607</v>
      </c>
      <c r="G15" s="458">
        <f t="shared" si="6"/>
        <v>3527.3537303712619</v>
      </c>
      <c r="H15" s="458">
        <f t="shared" si="6"/>
        <v>3555.5632621011764</v>
      </c>
      <c r="I15" s="458">
        <f t="shared" si="6"/>
        <v>3583.9983957245358</v>
      </c>
      <c r="K15" s="228"/>
      <c r="L15" s="228"/>
      <c r="M15" s="228"/>
      <c r="N15" s="228"/>
      <c r="O15" s="457"/>
      <c r="P15" s="457"/>
      <c r="Q15" s="146"/>
      <c r="R15" s="146"/>
      <c r="S15" s="146"/>
      <c r="T15" s="146"/>
      <c r="U15" s="146"/>
      <c r="V15" s="146"/>
      <c r="W15" s="146"/>
      <c r="X15" s="146"/>
      <c r="Y15" s="146"/>
      <c r="AI15" s="323"/>
      <c r="AJ15" s="323"/>
      <c r="AK15" s="323"/>
      <c r="AL15" s="323"/>
      <c r="AM15" s="323"/>
    </row>
    <row r="16" spans="1:39">
      <c r="A16" s="324"/>
      <c r="B16" s="486" t="str">
        <f>B72</f>
        <v>Administrations - duration of administrations (hours)</v>
      </c>
      <c r="C16" s="491"/>
      <c r="D16" s="460">
        <f>D75</f>
        <v>0</v>
      </c>
      <c r="E16" s="460">
        <f t="shared" ref="E16:I16" si="7">E75</f>
        <v>0</v>
      </c>
      <c r="F16" s="460">
        <f t="shared" si="7"/>
        <v>0</v>
      </c>
      <c r="G16" s="460">
        <f t="shared" si="7"/>
        <v>0</v>
      </c>
      <c r="H16" s="460">
        <f t="shared" si="7"/>
        <v>0</v>
      </c>
      <c r="I16" s="460">
        <f t="shared" si="7"/>
        <v>0</v>
      </c>
      <c r="K16" s="329">
        <f>K75</f>
        <v>0</v>
      </c>
      <c r="L16" s="329">
        <f t="shared" ref="L16:P16" si="8">L75</f>
        <v>0</v>
      </c>
      <c r="M16" s="329">
        <f t="shared" si="8"/>
        <v>0</v>
      </c>
      <c r="N16" s="329">
        <f t="shared" si="8"/>
        <v>0</v>
      </c>
      <c r="O16" s="329">
        <f t="shared" si="8"/>
        <v>0</v>
      </c>
      <c r="P16" s="329">
        <f t="shared" si="8"/>
        <v>0</v>
      </c>
      <c r="Q16" s="146"/>
      <c r="R16" s="146"/>
      <c r="S16" s="146"/>
      <c r="T16" s="146"/>
      <c r="U16" s="146"/>
      <c r="V16" s="146"/>
      <c r="W16" s="146"/>
      <c r="X16" s="146"/>
      <c r="Y16" s="146"/>
      <c r="AI16" s="323"/>
      <c r="AJ16" s="323"/>
      <c r="AK16" s="323"/>
      <c r="AL16" s="323"/>
      <c r="AM16" s="323"/>
    </row>
    <row r="17" spans="1:39">
      <c r="A17" s="324"/>
      <c r="B17" s="486" t="str">
        <f>B78</f>
        <v>Preparation time before administration (hours)</v>
      </c>
      <c r="C17" s="491"/>
      <c r="D17" s="460">
        <f>D81</f>
        <v>0</v>
      </c>
      <c r="E17" s="460">
        <f t="shared" ref="E17:I17" si="9">E81</f>
        <v>0</v>
      </c>
      <c r="F17" s="460">
        <f t="shared" si="9"/>
        <v>0</v>
      </c>
      <c r="G17" s="460">
        <f t="shared" si="9"/>
        <v>0</v>
      </c>
      <c r="H17" s="460">
        <f t="shared" si="9"/>
        <v>0</v>
      </c>
      <c r="I17" s="460">
        <f t="shared" si="9"/>
        <v>0</v>
      </c>
      <c r="K17" s="329">
        <f>K81</f>
        <v>0</v>
      </c>
      <c r="L17" s="329">
        <f t="shared" ref="L17:P17" si="10">L81</f>
        <v>0</v>
      </c>
      <c r="M17" s="329">
        <f t="shared" si="10"/>
        <v>0</v>
      </c>
      <c r="N17" s="329">
        <f t="shared" si="10"/>
        <v>0</v>
      </c>
      <c r="O17" s="329">
        <f t="shared" si="10"/>
        <v>0</v>
      </c>
      <c r="P17" s="329">
        <f t="shared" si="10"/>
        <v>0</v>
      </c>
      <c r="Q17" s="146"/>
      <c r="R17" s="146"/>
      <c r="S17" s="146"/>
      <c r="T17" s="146"/>
      <c r="U17" s="146"/>
      <c r="V17" s="146"/>
      <c r="W17" s="146"/>
      <c r="X17" s="146"/>
      <c r="Y17" s="146"/>
      <c r="AI17" s="323"/>
      <c r="AJ17" s="323"/>
      <c r="AK17" s="323"/>
      <c r="AL17" s="323"/>
      <c r="AM17" s="323"/>
    </row>
    <row r="18" spans="1:39">
      <c r="A18" s="324"/>
      <c r="B18" s="486" t="str">
        <f>B84</f>
        <v>Post administration nursing time (hours)</v>
      </c>
      <c r="C18" s="491"/>
      <c r="D18" s="460">
        <f>D87</f>
        <v>0</v>
      </c>
      <c r="E18" s="461">
        <f t="shared" ref="E18:I18" si="11">E87</f>
        <v>0</v>
      </c>
      <c r="F18" s="460">
        <f t="shared" si="11"/>
        <v>0</v>
      </c>
      <c r="G18" s="460">
        <f t="shared" si="11"/>
        <v>0</v>
      </c>
      <c r="H18" s="460">
        <f t="shared" si="11"/>
        <v>0</v>
      </c>
      <c r="I18" s="460">
        <f t="shared" si="11"/>
        <v>0</v>
      </c>
      <c r="K18" s="329">
        <f>K87</f>
        <v>0</v>
      </c>
      <c r="L18" s="329">
        <f t="shared" ref="L18:P18" si="12">L87</f>
        <v>0</v>
      </c>
      <c r="M18" s="329">
        <f t="shared" si="12"/>
        <v>0</v>
      </c>
      <c r="N18" s="329">
        <f t="shared" si="12"/>
        <v>0</v>
      </c>
      <c r="O18" s="329">
        <f t="shared" si="12"/>
        <v>0</v>
      </c>
      <c r="P18" s="329">
        <f t="shared" si="12"/>
        <v>0</v>
      </c>
      <c r="Q18" s="146"/>
      <c r="R18" s="146"/>
      <c r="S18" s="146"/>
      <c r="T18" s="146"/>
      <c r="U18" s="146"/>
      <c r="V18" s="146"/>
      <c r="W18" s="146"/>
      <c r="X18" s="146"/>
      <c r="Y18" s="146"/>
      <c r="AI18" s="323"/>
      <c r="AJ18" s="323"/>
      <c r="AK18" s="323"/>
      <c r="AL18" s="323"/>
      <c r="AM18" s="323"/>
    </row>
    <row r="19" spans="1:39">
      <c r="A19" s="326"/>
      <c r="B19" s="487" t="str">
        <f>B91</f>
        <v>In-house aseptic unit preparations, number made</v>
      </c>
      <c r="C19" s="492"/>
      <c r="D19" s="462">
        <f>D94</f>
        <v>0</v>
      </c>
      <c r="E19" s="462">
        <f t="shared" ref="E19:I19" si="13">E94</f>
        <v>0</v>
      </c>
      <c r="F19" s="462">
        <f t="shared" si="13"/>
        <v>0</v>
      </c>
      <c r="G19" s="462">
        <f t="shared" si="13"/>
        <v>0</v>
      </c>
      <c r="H19" s="462">
        <f t="shared" si="13"/>
        <v>0</v>
      </c>
      <c r="I19" s="462">
        <f t="shared" si="13"/>
        <v>0</v>
      </c>
      <c r="K19" s="228"/>
      <c r="L19" s="228"/>
      <c r="M19" s="228"/>
      <c r="N19" s="228"/>
      <c r="O19" s="457"/>
      <c r="P19" s="457"/>
      <c r="Q19" s="146"/>
      <c r="R19" s="146"/>
      <c r="S19" s="146"/>
      <c r="T19" s="146"/>
      <c r="U19" s="146"/>
      <c r="V19" s="146"/>
      <c r="W19" s="146"/>
      <c r="X19" s="146"/>
      <c r="Y19" s="146"/>
      <c r="AI19" s="323"/>
      <c r="AJ19" s="323"/>
      <c r="AK19" s="323"/>
      <c r="AL19" s="323"/>
      <c r="AM19" s="323"/>
    </row>
    <row r="20" spans="1:39">
      <c r="A20" s="326"/>
      <c r="B20" s="487" t="str">
        <f>B97</f>
        <v>Bought-in aseptic unit preparations, number bought in</v>
      </c>
      <c r="C20" s="492"/>
      <c r="D20" s="462">
        <f>D100</f>
        <v>0</v>
      </c>
      <c r="E20" s="462">
        <f t="shared" ref="E20:I20" si="14">E100</f>
        <v>0</v>
      </c>
      <c r="F20" s="462">
        <f t="shared" si="14"/>
        <v>0</v>
      </c>
      <c r="G20" s="462">
        <f t="shared" si="14"/>
        <v>0</v>
      </c>
      <c r="H20" s="462">
        <f t="shared" si="14"/>
        <v>0</v>
      </c>
      <c r="I20" s="462">
        <f t="shared" si="14"/>
        <v>0</v>
      </c>
      <c r="K20" s="228"/>
      <c r="L20" s="228"/>
      <c r="M20" s="228"/>
      <c r="N20" s="228"/>
      <c r="O20" s="457"/>
      <c r="P20" s="457"/>
      <c r="Q20" s="146"/>
      <c r="R20" s="146"/>
      <c r="S20" s="146"/>
      <c r="T20" s="146"/>
      <c r="U20" s="146"/>
      <c r="V20" s="146"/>
      <c r="W20" s="146"/>
      <c r="X20" s="146"/>
      <c r="Y20" s="146"/>
      <c r="AI20" s="323"/>
      <c r="AJ20" s="323"/>
      <c r="AK20" s="323"/>
      <c r="AL20" s="323"/>
      <c r="AM20" s="323"/>
    </row>
    <row r="21" spans="1:39">
      <c r="A21" s="326"/>
      <c r="B21" s="487" t="str">
        <f>B103</f>
        <v>In-house aseptic unit preparations, pharmacy time (hours)</v>
      </c>
      <c r="C21" s="492"/>
      <c r="D21" s="462">
        <f>D106</f>
        <v>0</v>
      </c>
      <c r="E21" s="462">
        <f t="shared" ref="E21:I21" si="15">E106</f>
        <v>0</v>
      </c>
      <c r="F21" s="462">
        <f t="shared" si="15"/>
        <v>0</v>
      </c>
      <c r="G21" s="462">
        <f t="shared" si="15"/>
        <v>0</v>
      </c>
      <c r="H21" s="462">
        <f t="shared" si="15"/>
        <v>0</v>
      </c>
      <c r="I21" s="462">
        <f t="shared" si="15"/>
        <v>0</v>
      </c>
      <c r="K21" s="329">
        <f>K106</f>
        <v>0</v>
      </c>
      <c r="L21" s="329">
        <f t="shared" ref="L21:P21" si="16">L106</f>
        <v>0</v>
      </c>
      <c r="M21" s="329">
        <f t="shared" si="16"/>
        <v>0</v>
      </c>
      <c r="N21" s="329">
        <f t="shared" si="16"/>
        <v>0</v>
      </c>
      <c r="O21" s="329">
        <f t="shared" si="16"/>
        <v>0</v>
      </c>
      <c r="P21" s="329">
        <f t="shared" si="16"/>
        <v>0</v>
      </c>
      <c r="Q21" s="146"/>
      <c r="R21" s="146"/>
      <c r="S21" s="146"/>
      <c r="T21" s="146"/>
      <c r="U21" s="146"/>
      <c r="V21" s="146"/>
      <c r="W21" s="146"/>
      <c r="X21" s="146"/>
      <c r="Y21" s="146"/>
      <c r="AI21" s="323"/>
      <c r="AJ21" s="323"/>
      <c r="AK21" s="323"/>
      <c r="AL21" s="323"/>
      <c r="AM21" s="323"/>
    </row>
    <row r="22" spans="1:39">
      <c r="A22" s="326"/>
      <c r="B22" s="487" t="str">
        <f>B109</f>
        <v>Bought-in aseptic unit preparations, pharmacy time (hours)</v>
      </c>
      <c r="C22" s="492"/>
      <c r="D22" s="462">
        <f>D112</f>
        <v>0</v>
      </c>
      <c r="E22" s="462">
        <f t="shared" ref="E22:I22" si="17">E112</f>
        <v>0</v>
      </c>
      <c r="F22" s="462">
        <f t="shared" si="17"/>
        <v>0</v>
      </c>
      <c r="G22" s="462">
        <f t="shared" si="17"/>
        <v>0</v>
      </c>
      <c r="H22" s="462">
        <f t="shared" si="17"/>
        <v>0</v>
      </c>
      <c r="I22" s="462">
        <f t="shared" si="17"/>
        <v>0</v>
      </c>
      <c r="K22" s="329">
        <f>K112</f>
        <v>0</v>
      </c>
      <c r="L22" s="329">
        <f t="shared" ref="L22:P22" si="18">L112</f>
        <v>0</v>
      </c>
      <c r="M22" s="329">
        <f t="shared" si="18"/>
        <v>0</v>
      </c>
      <c r="N22" s="329">
        <f t="shared" si="18"/>
        <v>0</v>
      </c>
      <c r="O22" s="329">
        <f t="shared" si="18"/>
        <v>0</v>
      </c>
      <c r="P22" s="329">
        <f t="shared" si="18"/>
        <v>0</v>
      </c>
      <c r="Q22" s="146"/>
      <c r="R22" s="146"/>
      <c r="S22" s="146"/>
      <c r="T22" s="146"/>
      <c r="U22" s="146"/>
      <c r="V22" s="146"/>
      <c r="W22" s="146"/>
      <c r="X22" s="146"/>
      <c r="Y22" s="146"/>
      <c r="AI22" s="323"/>
      <c r="AJ22" s="323"/>
      <c r="AK22" s="323"/>
      <c r="AL22" s="323"/>
      <c r="AM22" s="323"/>
    </row>
    <row r="23" spans="1:39">
      <c r="A23" s="326"/>
      <c r="B23" s="487" t="str">
        <f>B115</f>
        <v>Drug regimen prep (hours)</v>
      </c>
      <c r="C23" s="492"/>
      <c r="D23" s="462">
        <f>D118</f>
        <v>0</v>
      </c>
      <c r="E23" s="462">
        <f t="shared" ref="E23:I23" si="19">E118</f>
        <v>114.19751076213819</v>
      </c>
      <c r="F23" s="462">
        <f t="shared" si="19"/>
        <v>145.8070004428692</v>
      </c>
      <c r="G23" s="462">
        <f t="shared" si="19"/>
        <v>146.97307209880262</v>
      </c>
      <c r="H23" s="462">
        <f t="shared" si="19"/>
        <v>148.14846925421568</v>
      </c>
      <c r="I23" s="462">
        <f t="shared" si="19"/>
        <v>149.33326648852233</v>
      </c>
      <c r="K23" s="329">
        <f>K118</f>
        <v>0</v>
      </c>
      <c r="L23" s="329">
        <f t="shared" ref="L23:P23" si="20">L118</f>
        <v>4.9424682657853412</v>
      </c>
      <c r="M23" s="329">
        <f t="shared" si="20"/>
        <v>6.3105269791673795</v>
      </c>
      <c r="N23" s="329">
        <f t="shared" si="20"/>
        <v>6.3609945604361773</v>
      </c>
      <c r="O23" s="329">
        <f t="shared" si="20"/>
        <v>6.4118657493224545</v>
      </c>
      <c r="P23" s="329">
        <f t="shared" si="20"/>
        <v>6.4631437736232469</v>
      </c>
      <c r="Q23" s="146"/>
      <c r="R23" s="146"/>
      <c r="S23" s="146"/>
      <c r="T23" s="146"/>
      <c r="U23" s="146"/>
      <c r="V23" s="146"/>
      <c r="W23" s="146"/>
      <c r="X23" s="146"/>
      <c r="Y23" s="146"/>
      <c r="AI23" s="323"/>
      <c r="AJ23" s="323"/>
      <c r="AK23" s="323"/>
      <c r="AL23" s="323"/>
      <c r="AM23" s="323"/>
    </row>
    <row r="24" spans="1:39">
      <c r="A24" s="325"/>
      <c r="B24" s="488" t="str">
        <f>B122</f>
        <v>Appointments with specialist</v>
      </c>
      <c r="C24" s="493"/>
      <c r="D24" s="465">
        <f>D125</f>
        <v>0</v>
      </c>
      <c r="E24" s="465">
        <f t="shared" ref="E24:I24" si="21">E125</f>
        <v>2740.7402582913164</v>
      </c>
      <c r="F24" s="465">
        <f t="shared" si="21"/>
        <v>3499.3680106288607</v>
      </c>
      <c r="G24" s="465">
        <f t="shared" si="21"/>
        <v>3527.3537303712619</v>
      </c>
      <c r="H24" s="465">
        <f t="shared" si="21"/>
        <v>3555.5632621011764</v>
      </c>
      <c r="I24" s="465">
        <f t="shared" si="21"/>
        <v>3583.9983957245358</v>
      </c>
      <c r="K24" s="329">
        <f>K125</f>
        <v>0</v>
      </c>
      <c r="L24" s="329">
        <f t="shared" ref="L24:P24" si="22">L125</f>
        <v>284.98217205713109</v>
      </c>
      <c r="M24" s="329">
        <f t="shared" si="22"/>
        <v>363.86428574518897</v>
      </c>
      <c r="N24" s="329">
        <f t="shared" si="22"/>
        <v>366.7742408840038</v>
      </c>
      <c r="O24" s="329">
        <f t="shared" si="22"/>
        <v>369.70746799328032</v>
      </c>
      <c r="P24" s="329">
        <f t="shared" si="22"/>
        <v>372.66415318743725</v>
      </c>
      <c r="Q24" s="146"/>
      <c r="R24" s="146"/>
      <c r="S24" s="146"/>
      <c r="T24" s="146"/>
      <c r="U24" s="146"/>
      <c r="V24" s="146"/>
      <c r="W24" s="146"/>
      <c r="X24" s="146"/>
      <c r="Y24" s="146"/>
      <c r="AI24" s="323"/>
      <c r="AJ24" s="323"/>
      <c r="AK24" s="323"/>
      <c r="AL24" s="323"/>
      <c r="AM24" s="323"/>
    </row>
    <row r="25" spans="1:39">
      <c r="A25" s="327"/>
      <c r="B25" s="489" t="str">
        <f>B129</f>
        <v>Blood monitoring</v>
      </c>
      <c r="C25" s="494"/>
      <c r="D25" s="466">
        <f>D132</f>
        <v>0</v>
      </c>
      <c r="E25" s="466">
        <f t="shared" ref="E25:I25" si="23">E132</f>
        <v>2740.7402582913164</v>
      </c>
      <c r="F25" s="466">
        <f t="shared" si="23"/>
        <v>3499.3680106288607</v>
      </c>
      <c r="G25" s="466">
        <f t="shared" si="23"/>
        <v>3527.3537303712619</v>
      </c>
      <c r="H25" s="466">
        <f t="shared" si="23"/>
        <v>3555.5632621011764</v>
      </c>
      <c r="I25" s="466">
        <f t="shared" si="23"/>
        <v>3583.9983957245358</v>
      </c>
      <c r="K25" s="329">
        <f>K132</f>
        <v>0</v>
      </c>
      <c r="L25" s="329">
        <f t="shared" ref="L25:P25" si="24">L132</f>
        <v>106.86146267077844</v>
      </c>
      <c r="M25" s="329">
        <f t="shared" si="24"/>
        <v>136.44035873441928</v>
      </c>
      <c r="N25" s="329">
        <f t="shared" si="24"/>
        <v>137.53152194717549</v>
      </c>
      <c r="O25" s="329">
        <f t="shared" si="24"/>
        <v>138.63141158932487</v>
      </c>
      <c r="P25" s="329">
        <f t="shared" si="24"/>
        <v>139.74009744929964</v>
      </c>
      <c r="Q25" s="146"/>
      <c r="R25" s="146"/>
      <c r="S25" s="146"/>
      <c r="T25" s="146"/>
      <c r="U25" s="146"/>
      <c r="V25" s="146"/>
      <c r="W25" s="146"/>
      <c r="X25" s="146"/>
      <c r="Y25" s="146"/>
      <c r="AI25" s="323"/>
      <c r="AJ25" s="323"/>
      <c r="AK25" s="323"/>
      <c r="AL25" s="323"/>
      <c r="AM25" s="323"/>
    </row>
    <row r="26" spans="1:39">
      <c r="A26" s="328"/>
      <c r="B26" s="490" t="str">
        <f>B137</f>
        <v>Adverse events, various (cases)</v>
      </c>
      <c r="C26" s="472"/>
      <c r="D26" s="467">
        <f>D142</f>
        <v>0</v>
      </c>
      <c r="E26" s="467">
        <f t="shared" ref="E26:I26" si="25">E142</f>
        <v>153.25305944278946</v>
      </c>
      <c r="F26" s="467">
        <f t="shared" si="25"/>
        <v>195.67299459433048</v>
      </c>
      <c r="G26" s="467">
        <f t="shared" si="25"/>
        <v>197.23786275659307</v>
      </c>
      <c r="H26" s="467">
        <f t="shared" si="25"/>
        <v>198.81524573915746</v>
      </c>
      <c r="I26" s="467">
        <f t="shared" si="25"/>
        <v>200.40524362759697</v>
      </c>
      <c r="J26" s="146"/>
      <c r="K26" s="329">
        <f>K142</f>
        <v>0</v>
      </c>
      <c r="L26" s="329">
        <f>L142</f>
        <v>40.790802696184109</v>
      </c>
      <c r="M26" s="329">
        <f t="shared" ref="M26:P26" si="26">M142</f>
        <v>52.081560684590762</v>
      </c>
      <c r="N26" s="329">
        <f t="shared" si="26"/>
        <v>52.498075882946203</v>
      </c>
      <c r="O26" s="329">
        <f t="shared" si="26"/>
        <v>52.917922104953419</v>
      </c>
      <c r="P26" s="329">
        <f t="shared" si="26"/>
        <v>53.341125990021027</v>
      </c>
      <c r="Q26" s="146"/>
      <c r="R26" s="146"/>
      <c r="S26" s="146"/>
      <c r="T26" s="146"/>
      <c r="U26" s="146"/>
      <c r="V26" s="146"/>
      <c r="W26" s="146"/>
      <c r="X26" s="146"/>
      <c r="Y26" s="146"/>
    </row>
    <row r="27" spans="1:39">
      <c r="B27" s="280"/>
      <c r="D27" s="323"/>
      <c r="F27" s="146"/>
      <c r="G27" s="146"/>
      <c r="H27" s="146"/>
      <c r="I27" s="146"/>
      <c r="J27" s="146"/>
      <c r="K27" s="330">
        <f t="shared" ref="K27:P27" si="27">SUM(K10:K26)</f>
        <v>0</v>
      </c>
      <c r="L27" s="330">
        <f t="shared" si="27"/>
        <v>452.65097711048128</v>
      </c>
      <c r="M27" s="330">
        <f t="shared" si="27"/>
        <v>577.94325620182508</v>
      </c>
      <c r="N27" s="330">
        <f t="shared" si="27"/>
        <v>582.56527879160365</v>
      </c>
      <c r="O27" s="330">
        <f t="shared" si="27"/>
        <v>587.22426537843751</v>
      </c>
      <c r="P27" s="330">
        <f t="shared" si="27"/>
        <v>591.92051157686615</v>
      </c>
      <c r="Q27" s="146"/>
      <c r="R27" s="146"/>
      <c r="S27" s="146"/>
      <c r="T27" s="146"/>
      <c r="U27" s="146"/>
      <c r="V27" s="146"/>
      <c r="W27" s="146"/>
      <c r="X27" s="146"/>
      <c r="Y27" s="146"/>
    </row>
    <row r="28" spans="1:39"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O28" s="146"/>
      <c r="P28" s="146"/>
      <c r="Q28" s="146"/>
      <c r="R28" s="146"/>
      <c r="U28" s="146"/>
      <c r="V28" s="146"/>
      <c r="W28" s="146"/>
      <c r="X28" s="146"/>
      <c r="Y28" s="146"/>
      <c r="AI28" s="323"/>
      <c r="AJ28" s="323"/>
      <c r="AK28" s="323"/>
      <c r="AL28" s="323"/>
      <c r="AM28" s="323"/>
    </row>
    <row r="29" spans="1:39">
      <c r="B29" s="417" t="s">
        <v>852</v>
      </c>
      <c r="C29" s="418"/>
      <c r="D29" s="418"/>
      <c r="E29" s="419"/>
      <c r="F29" s="418"/>
      <c r="G29" s="420"/>
      <c r="H29" s="421"/>
      <c r="I29" s="421"/>
      <c r="J29" s="421"/>
      <c r="K29" s="421"/>
      <c r="L29" s="421"/>
      <c r="M29" s="421"/>
      <c r="N29" s="421"/>
      <c r="O29" s="421"/>
      <c r="P29" s="422"/>
      <c r="Q29" s="146"/>
      <c r="R29" s="146"/>
      <c r="S29" s="146"/>
      <c r="T29" s="146"/>
      <c r="U29" s="146"/>
      <c r="V29" s="146"/>
      <c r="W29" s="146"/>
      <c r="X29" s="146"/>
      <c r="Y29" s="146"/>
      <c r="AI29" s="323"/>
      <c r="AJ29" s="323"/>
      <c r="AK29" s="323"/>
      <c r="AL29" s="323"/>
      <c r="AM29" s="323"/>
    </row>
    <row r="30" spans="1:39">
      <c r="A30" s="334"/>
      <c r="B30" s="367"/>
      <c r="C30" s="339"/>
      <c r="D30" s="340"/>
      <c r="E30" s="341"/>
      <c r="F30" s="334"/>
      <c r="G30" s="334"/>
      <c r="H30" s="237"/>
      <c r="I30" s="237"/>
      <c r="J30" s="237"/>
      <c r="K30" s="237"/>
      <c r="L30" s="237"/>
      <c r="M30" s="237"/>
      <c r="N30" s="237"/>
      <c r="O30" s="237"/>
      <c r="P30" s="237"/>
      <c r="Q30" s="146"/>
      <c r="R30" s="146"/>
      <c r="S30" s="146"/>
      <c r="T30" s="146"/>
      <c r="U30" s="146"/>
      <c r="V30" s="146"/>
      <c r="W30" s="146"/>
      <c r="X30" s="146"/>
      <c r="Y30" s="146"/>
      <c r="AI30" s="323"/>
      <c r="AJ30" s="323"/>
      <c r="AK30" s="323"/>
      <c r="AL30" s="323"/>
      <c r="AM30" s="323"/>
    </row>
    <row r="31" spans="1:39">
      <c r="A31" s="334"/>
      <c r="B31" s="366" t="s">
        <v>853</v>
      </c>
      <c r="C31" s="335"/>
      <c r="D31" s="335"/>
      <c r="E31" s="336"/>
      <c r="F31" s="337"/>
      <c r="G31" s="338"/>
      <c r="H31" s="338"/>
      <c r="I31" s="473"/>
      <c r="J31" s="474"/>
      <c r="K31" s="334"/>
      <c r="L31" s="334"/>
      <c r="M31" s="334"/>
      <c r="N31" s="334"/>
      <c r="O31" s="334"/>
      <c r="P31" s="237"/>
      <c r="Q31" s="146"/>
      <c r="R31" s="146"/>
      <c r="U31" s="146"/>
    </row>
    <row r="32" spans="1:39">
      <c r="A32" s="342"/>
      <c r="B32" s="431" t="s">
        <v>211</v>
      </c>
      <c r="C32" s="432"/>
      <c r="D32" s="432"/>
      <c r="E32" s="432"/>
      <c r="F32" s="432"/>
      <c r="G32" s="432"/>
      <c r="H32" s="432"/>
      <c r="I32" s="236"/>
      <c r="J32" s="237"/>
      <c r="K32" s="237"/>
      <c r="L32" s="237"/>
      <c r="M32" s="237"/>
      <c r="N32" s="237"/>
      <c r="O32" s="237"/>
      <c r="P32" s="237"/>
      <c r="Q32" s="146"/>
      <c r="R32" s="146"/>
      <c r="S32" s="146"/>
      <c r="T32" s="146"/>
      <c r="U32" s="146"/>
      <c r="V32" s="146"/>
      <c r="W32" s="146"/>
      <c r="X32" s="146"/>
      <c r="Y32" s="146"/>
      <c r="AI32" s="323"/>
      <c r="AJ32" s="323"/>
      <c r="AK32" s="323"/>
      <c r="AL32" s="323"/>
      <c r="AM32" s="323"/>
    </row>
    <row r="33" spans="1:39" ht="43.5">
      <c r="A33" s="342"/>
      <c r="B33" s="364" t="s">
        <v>160</v>
      </c>
      <c r="C33" s="182" t="s">
        <v>854</v>
      </c>
      <c r="D33" s="463" t="s">
        <v>841</v>
      </c>
      <c r="E33" s="292" t="s">
        <v>60</v>
      </c>
      <c r="F33" s="292" t="s">
        <v>61</v>
      </c>
      <c r="G33" s="181" t="s">
        <v>62</v>
      </c>
      <c r="H33" s="181" t="s">
        <v>843</v>
      </c>
      <c r="I33" s="292" t="s">
        <v>844</v>
      </c>
      <c r="J33" s="468"/>
      <c r="K33" s="237"/>
      <c r="L33" s="237"/>
      <c r="M33" s="237"/>
      <c r="N33" s="237"/>
      <c r="O33" s="237"/>
      <c r="P33" s="237"/>
      <c r="Q33" s="146"/>
      <c r="R33" s="146"/>
      <c r="S33" s="146"/>
      <c r="T33" s="146"/>
      <c r="U33" s="146"/>
      <c r="V33" s="146"/>
      <c r="W33" s="146"/>
      <c r="X33" s="146"/>
      <c r="Y33" s="146"/>
      <c r="AI33" s="323"/>
      <c r="AJ33" s="323"/>
      <c r="AK33" s="323"/>
      <c r="AL33" s="323"/>
      <c r="AM33" s="323"/>
    </row>
    <row r="34" spans="1:39">
      <c r="A34" s="342"/>
      <c r="B34" s="391" t="s">
        <v>1072</v>
      </c>
      <c r="C34" s="165">
        <f>'Inputs and eligible population'!F70</f>
        <v>1</v>
      </c>
      <c r="D34" s="141">
        <f>'Financial impact (cash)'!D13*'Capacity (local prices)'!$C$34</f>
        <v>0</v>
      </c>
      <c r="E34" s="141">
        <f>'Financial impact (cash)'!E13*'Capacity (local prices)'!$C$34</f>
        <v>114.19751076213819</v>
      </c>
      <c r="F34" s="141">
        <f>'Financial impact (cash)'!F13*'Capacity (local prices)'!$C$34</f>
        <v>145.8070004428692</v>
      </c>
      <c r="G34" s="141">
        <f>'Financial impact (cash)'!G13*'Capacity (local prices)'!$C$34</f>
        <v>146.97307209880259</v>
      </c>
      <c r="H34" s="141">
        <f>'Financial impact (cash)'!H13*'Capacity (local prices)'!$C$34</f>
        <v>148.14846925421568</v>
      </c>
      <c r="I34" s="141">
        <f>'Financial impact (cash)'!I13*'Capacity (local prices)'!$C$34</f>
        <v>149.33326648852233</v>
      </c>
      <c r="J34" s="468"/>
      <c r="K34" s="237"/>
      <c r="L34" s="237"/>
      <c r="M34" s="237"/>
      <c r="N34" s="237"/>
      <c r="O34" s="237"/>
      <c r="P34" s="237"/>
      <c r="Q34" s="146"/>
      <c r="R34" s="146"/>
      <c r="S34" s="146"/>
      <c r="T34" s="146"/>
      <c r="U34" s="146"/>
      <c r="V34" s="146"/>
      <c r="W34" s="146"/>
      <c r="X34" s="146"/>
      <c r="Y34" s="146"/>
      <c r="AI34" s="323"/>
      <c r="AJ34" s="323"/>
      <c r="AK34" s="323"/>
      <c r="AL34" s="323"/>
      <c r="AM34" s="323"/>
    </row>
    <row r="35" spans="1:39">
      <c r="A35" s="342"/>
      <c r="B35" s="391" t="s">
        <v>1073</v>
      </c>
      <c r="C35" s="165">
        <f>C34</f>
        <v>1</v>
      </c>
      <c r="D35" s="141">
        <f>'Financial impact (cash)'!D14*$C$35</f>
        <v>0</v>
      </c>
      <c r="E35" s="141">
        <f>'Financial impact (cash)'!E14*$C$35</f>
        <v>114.19751076213819</v>
      </c>
      <c r="F35" s="141">
        <f>'Financial impact (cash)'!F14*$C$35</f>
        <v>145.8070004428692</v>
      </c>
      <c r="G35" s="141">
        <f>'Financial impact (cash)'!G14*$C$35</f>
        <v>146.97307209880259</v>
      </c>
      <c r="H35" s="141">
        <f>'Financial impact (cash)'!H14*$C$35</f>
        <v>148.14846925421568</v>
      </c>
      <c r="I35" s="141">
        <f>'Financial impact (cash)'!I14*$C$35</f>
        <v>149.33326648852233</v>
      </c>
      <c r="J35" s="468"/>
      <c r="K35" s="237"/>
      <c r="L35" s="237"/>
      <c r="M35" s="237"/>
      <c r="N35" s="237"/>
      <c r="O35" s="237"/>
      <c r="P35" s="237"/>
      <c r="Q35" s="146"/>
      <c r="R35" s="146"/>
      <c r="S35" s="146"/>
      <c r="T35" s="146"/>
      <c r="U35" s="146"/>
      <c r="V35" s="146"/>
      <c r="W35" s="146"/>
      <c r="X35" s="146"/>
      <c r="Y35" s="146"/>
      <c r="AI35" s="323"/>
      <c r="AJ35" s="323"/>
      <c r="AK35" s="323"/>
      <c r="AL35" s="323"/>
      <c r="AM35" s="323"/>
    </row>
    <row r="36" spans="1:39">
      <c r="A36" s="342"/>
      <c r="B36" s="604"/>
      <c r="C36" s="320"/>
      <c r="D36" s="205">
        <f t="shared" ref="D36:I36" si="28">SUM(D34:D35)</f>
        <v>0</v>
      </c>
      <c r="E36" s="205">
        <f t="shared" si="28"/>
        <v>228.39502152427639</v>
      </c>
      <c r="F36" s="205">
        <f t="shared" si="28"/>
        <v>291.61400088573839</v>
      </c>
      <c r="G36" s="205">
        <f t="shared" si="28"/>
        <v>293.94614419760518</v>
      </c>
      <c r="H36" s="205">
        <f t="shared" si="28"/>
        <v>296.29693850843137</v>
      </c>
      <c r="I36" s="205">
        <f t="shared" si="28"/>
        <v>298.66653297704465</v>
      </c>
      <c r="J36" s="468"/>
      <c r="K36" s="237"/>
      <c r="L36" s="237"/>
      <c r="M36" s="237"/>
      <c r="N36" s="237"/>
      <c r="O36" s="237"/>
      <c r="P36" s="237"/>
      <c r="Q36" s="146"/>
      <c r="R36" s="146"/>
      <c r="S36" s="146"/>
      <c r="T36" s="146"/>
      <c r="U36" s="146"/>
      <c r="V36" s="146"/>
      <c r="W36" s="146"/>
      <c r="X36" s="146"/>
      <c r="Y36" s="146"/>
      <c r="AI36" s="323"/>
      <c r="AJ36" s="323"/>
      <c r="AK36" s="323"/>
      <c r="AL36" s="323"/>
      <c r="AM36" s="323"/>
    </row>
    <row r="37" spans="1:39">
      <c r="A37" s="342"/>
      <c r="B37" s="293"/>
      <c r="C37" s="293"/>
      <c r="D37" s="322" t="s">
        <v>855</v>
      </c>
      <c r="E37" s="205">
        <f>E36-$D$36</f>
        <v>228.39502152427639</v>
      </c>
      <c r="F37" s="205">
        <f>F36-$D$36</f>
        <v>291.61400088573839</v>
      </c>
      <c r="G37" s="205">
        <f>G36-$D$36</f>
        <v>293.94614419760518</v>
      </c>
      <c r="H37" s="205">
        <f>H36-$D$36</f>
        <v>296.29693850843137</v>
      </c>
      <c r="I37" s="205">
        <f>I36-$D$36</f>
        <v>298.66653297704465</v>
      </c>
      <c r="J37" s="468"/>
      <c r="K37" s="237"/>
      <c r="L37" s="237"/>
      <c r="M37" s="237"/>
      <c r="N37" s="237"/>
      <c r="O37" s="237"/>
      <c r="P37" s="237"/>
      <c r="Q37" s="146"/>
      <c r="R37" s="146"/>
      <c r="S37" s="146"/>
      <c r="T37" s="146"/>
      <c r="U37" s="146"/>
      <c r="V37" s="146"/>
      <c r="W37" s="146"/>
      <c r="X37" s="146"/>
      <c r="Y37" s="146"/>
      <c r="AI37" s="323"/>
      <c r="AJ37" s="323"/>
      <c r="AK37" s="323"/>
      <c r="AL37" s="323"/>
      <c r="AM37" s="323"/>
    </row>
    <row r="38" spans="1:39">
      <c r="A38" s="334"/>
      <c r="B38" s="367"/>
      <c r="C38" s="339"/>
      <c r="D38" s="340"/>
      <c r="E38" s="341"/>
      <c r="F38" s="334"/>
      <c r="G38" s="334"/>
      <c r="H38" s="334"/>
      <c r="I38" s="338"/>
      <c r="J38" s="237"/>
      <c r="K38" s="237"/>
      <c r="L38" s="237"/>
      <c r="M38" s="237"/>
      <c r="N38" s="237"/>
      <c r="O38" s="237"/>
      <c r="P38" s="237"/>
      <c r="Q38" s="146"/>
      <c r="R38" s="146"/>
      <c r="S38" s="146"/>
      <c r="T38" s="146"/>
      <c r="U38" s="146"/>
      <c r="V38" s="146"/>
      <c r="W38" s="146"/>
      <c r="X38" s="146"/>
      <c r="Y38" s="146"/>
      <c r="AI38" s="323"/>
      <c r="AJ38" s="323"/>
      <c r="AK38" s="323"/>
      <c r="AL38" s="323"/>
      <c r="AM38" s="323"/>
    </row>
    <row r="39" spans="1:39">
      <c r="A39" s="334"/>
      <c r="B39" s="605" t="s">
        <v>212</v>
      </c>
      <c r="C39" s="432"/>
      <c r="D39" s="432"/>
      <c r="E39" s="432"/>
      <c r="F39" s="432"/>
      <c r="G39" s="432"/>
      <c r="H39" s="432"/>
      <c r="I39" s="236"/>
      <c r="J39" s="237"/>
      <c r="K39" s="237"/>
      <c r="L39" s="237"/>
      <c r="M39" s="237"/>
      <c r="N39" s="237"/>
      <c r="O39" s="237"/>
      <c r="P39" s="237"/>
      <c r="Q39" s="146"/>
      <c r="R39" s="146"/>
      <c r="S39" s="146"/>
      <c r="T39" s="146"/>
      <c r="U39" s="146"/>
      <c r="V39" s="146"/>
      <c r="W39" s="146"/>
      <c r="X39" s="146"/>
      <c r="Y39" s="146"/>
      <c r="AI39" s="323"/>
      <c r="AJ39" s="323"/>
      <c r="AK39" s="323"/>
      <c r="AL39" s="323"/>
      <c r="AM39" s="323"/>
    </row>
    <row r="40" spans="1:39" ht="43.5">
      <c r="A40" s="334"/>
      <c r="B40" s="319" t="s">
        <v>160</v>
      </c>
      <c r="C40" s="182" t="s">
        <v>854</v>
      </c>
      <c r="D40" s="463" t="s">
        <v>841</v>
      </c>
      <c r="E40" s="292" t="s">
        <v>60</v>
      </c>
      <c r="F40" s="292" t="s">
        <v>61</v>
      </c>
      <c r="G40" s="181" t="s">
        <v>62</v>
      </c>
      <c r="H40" s="181" t="s">
        <v>843</v>
      </c>
      <c r="I40" s="292" t="s">
        <v>844</v>
      </c>
      <c r="J40" s="237"/>
      <c r="K40" s="237"/>
      <c r="L40" s="237"/>
      <c r="M40" s="237"/>
      <c r="N40" s="237"/>
      <c r="O40" s="237"/>
      <c r="P40" s="237"/>
      <c r="Q40" s="146"/>
      <c r="R40" s="146"/>
      <c r="S40" s="146"/>
      <c r="T40" s="146"/>
      <c r="U40" s="146"/>
      <c r="V40" s="146"/>
      <c r="W40" s="146"/>
      <c r="X40" s="146"/>
      <c r="Y40" s="146"/>
      <c r="AI40" s="323"/>
      <c r="AJ40" s="323"/>
      <c r="AK40" s="323"/>
      <c r="AL40" s="323"/>
      <c r="AM40" s="323"/>
    </row>
    <row r="41" spans="1:39">
      <c r="A41" s="334"/>
      <c r="B41" s="391" t="s">
        <v>1072</v>
      </c>
      <c r="C41" s="165">
        <f>'Inputs and eligible population'!F71</f>
        <v>11</v>
      </c>
      <c r="D41" s="141">
        <f>'Financial impact (cash)'!D13*$C$41</f>
        <v>0</v>
      </c>
      <c r="E41" s="141">
        <f>'Financial impact (cash)'!E13*$C$41</f>
        <v>1256.1726183835201</v>
      </c>
      <c r="F41" s="141">
        <f>'Financial impact (cash)'!F13*$C$41</f>
        <v>1603.8770048715612</v>
      </c>
      <c r="G41" s="141">
        <f>'Financial impact (cash)'!G13*$C$41</f>
        <v>1616.7037930868285</v>
      </c>
      <c r="H41" s="141">
        <f>'Financial impact (cash)'!H13*$C$41</f>
        <v>1629.6331617963724</v>
      </c>
      <c r="I41" s="141">
        <f>'Financial impact (cash)'!I13*$C$41</f>
        <v>1642.6659313737455</v>
      </c>
      <c r="J41" s="237"/>
      <c r="K41" s="237"/>
      <c r="L41" s="237"/>
      <c r="M41" s="237"/>
      <c r="N41" s="237"/>
      <c r="O41" s="237"/>
      <c r="P41" s="237"/>
      <c r="Q41" s="146"/>
      <c r="R41" s="146"/>
      <c r="S41" s="146"/>
      <c r="T41" s="146"/>
      <c r="U41" s="146"/>
      <c r="V41" s="146"/>
      <c r="W41" s="146"/>
      <c r="X41" s="146"/>
      <c r="Y41" s="146"/>
      <c r="AI41" s="323"/>
      <c r="AJ41" s="323"/>
      <c r="AK41" s="323"/>
      <c r="AL41" s="323"/>
      <c r="AM41" s="323"/>
    </row>
    <row r="42" spans="1:39">
      <c r="A42" s="334"/>
      <c r="B42" s="391" t="s">
        <v>1073</v>
      </c>
      <c r="C42" s="165">
        <f>C41</f>
        <v>11</v>
      </c>
      <c r="D42" s="141">
        <f>'Financial impact (cash)'!D14*$C$42</f>
        <v>0</v>
      </c>
      <c r="E42" s="141">
        <f>'Financial impact (cash)'!E14*$C$42</f>
        <v>1256.1726183835201</v>
      </c>
      <c r="F42" s="141">
        <f>'Financial impact (cash)'!F14*$C$42</f>
        <v>1603.8770048715612</v>
      </c>
      <c r="G42" s="141">
        <f>'Financial impact (cash)'!G14*$C$42</f>
        <v>1616.7037930868285</v>
      </c>
      <c r="H42" s="141">
        <f>'Financial impact (cash)'!H14*$C$42</f>
        <v>1629.6331617963724</v>
      </c>
      <c r="I42" s="141">
        <f>'Financial impact (cash)'!I14*$C$42</f>
        <v>1642.6659313737455</v>
      </c>
      <c r="J42" s="237"/>
      <c r="K42" s="237"/>
      <c r="L42" s="237"/>
      <c r="M42" s="237"/>
      <c r="N42" s="237"/>
      <c r="O42" s="237"/>
      <c r="P42" s="237"/>
      <c r="Q42" s="146"/>
      <c r="R42" s="146"/>
      <c r="S42" s="146"/>
      <c r="T42" s="146"/>
      <c r="U42" s="146"/>
      <c r="V42" s="146"/>
      <c r="W42" s="146"/>
      <c r="X42" s="146"/>
      <c r="Y42" s="146"/>
      <c r="AI42" s="323"/>
      <c r="AJ42" s="323"/>
      <c r="AK42" s="323"/>
      <c r="AL42" s="323"/>
      <c r="AM42" s="323"/>
    </row>
    <row r="43" spans="1:39">
      <c r="A43" s="342"/>
      <c r="B43" s="604"/>
      <c r="C43" s="320"/>
      <c r="D43" s="205">
        <f t="shared" ref="D43:I43" si="29">SUM(D41:D42)</f>
        <v>0</v>
      </c>
      <c r="E43" s="205">
        <f t="shared" si="29"/>
        <v>2512.3452367670402</v>
      </c>
      <c r="F43" s="205">
        <f t="shared" si="29"/>
        <v>3207.7540097431224</v>
      </c>
      <c r="G43" s="205">
        <f t="shared" si="29"/>
        <v>3233.4075861736569</v>
      </c>
      <c r="H43" s="205">
        <f t="shared" si="29"/>
        <v>3259.2663235927448</v>
      </c>
      <c r="I43" s="205">
        <f t="shared" si="29"/>
        <v>3285.331862747491</v>
      </c>
      <c r="J43" s="468"/>
      <c r="K43" s="237"/>
      <c r="L43" s="237"/>
      <c r="M43" s="237"/>
      <c r="N43" s="237"/>
      <c r="O43" s="237"/>
      <c r="P43" s="237"/>
      <c r="Q43" s="146"/>
      <c r="R43" s="146"/>
      <c r="S43" s="146"/>
      <c r="T43" s="146"/>
      <c r="U43" s="146"/>
      <c r="V43" s="146"/>
      <c r="W43" s="146"/>
      <c r="X43" s="146"/>
      <c r="Y43" s="146"/>
      <c r="AI43" s="323"/>
      <c r="AJ43" s="323"/>
      <c r="AK43" s="323"/>
      <c r="AL43" s="323"/>
      <c r="AM43" s="323"/>
    </row>
    <row r="44" spans="1:39">
      <c r="A44" s="342"/>
      <c r="B44" s="293"/>
      <c r="C44" s="293"/>
      <c r="D44" s="322" t="s">
        <v>855</v>
      </c>
      <c r="E44" s="205">
        <f>E43-$D$43</f>
        <v>2512.3452367670402</v>
      </c>
      <c r="F44" s="205">
        <f t="shared" ref="F44:I44" si="30">F43-$D$43</f>
        <v>3207.7540097431224</v>
      </c>
      <c r="G44" s="205">
        <f t="shared" si="30"/>
        <v>3233.4075861736569</v>
      </c>
      <c r="H44" s="205">
        <f t="shared" si="30"/>
        <v>3259.2663235927448</v>
      </c>
      <c r="I44" s="205">
        <f t="shared" si="30"/>
        <v>3285.331862747491</v>
      </c>
      <c r="J44" s="468"/>
      <c r="K44" s="237"/>
      <c r="L44" s="237"/>
      <c r="M44" s="237"/>
      <c r="N44" s="237"/>
      <c r="O44" s="237"/>
      <c r="P44" s="237"/>
      <c r="Q44" s="146"/>
      <c r="R44" s="146"/>
      <c r="S44" s="146"/>
      <c r="T44" s="146"/>
      <c r="U44" s="146"/>
      <c r="V44" s="146"/>
      <c r="W44" s="146"/>
      <c r="X44" s="146"/>
      <c r="Y44" s="146"/>
      <c r="AI44" s="323"/>
      <c r="AJ44" s="323"/>
      <c r="AK44" s="323"/>
      <c r="AL44" s="323"/>
      <c r="AM44" s="323"/>
    </row>
    <row r="45" spans="1:39">
      <c r="A45" s="334"/>
      <c r="B45" s="367"/>
      <c r="C45" s="339"/>
      <c r="D45" s="340"/>
      <c r="E45" s="341"/>
      <c r="F45" s="334"/>
      <c r="G45" s="334"/>
      <c r="H45" s="334"/>
      <c r="I45" s="334"/>
      <c r="J45" s="237"/>
      <c r="K45" s="237"/>
      <c r="L45" s="237"/>
      <c r="M45" s="237"/>
      <c r="N45" s="237"/>
      <c r="O45" s="237"/>
      <c r="P45" s="237"/>
      <c r="Q45" s="146"/>
      <c r="R45" s="146"/>
      <c r="S45" s="146"/>
      <c r="T45" s="146"/>
      <c r="U45" s="146"/>
      <c r="V45" s="146"/>
      <c r="W45" s="146"/>
      <c r="X45" s="146"/>
      <c r="Y45" s="146"/>
      <c r="AI45" s="323"/>
      <c r="AJ45" s="323"/>
      <c r="AK45" s="323"/>
      <c r="AL45" s="323"/>
      <c r="AM45" s="323"/>
    </row>
    <row r="46" spans="1:39">
      <c r="A46" s="342"/>
      <c r="B46" s="431" t="s">
        <v>856</v>
      </c>
      <c r="C46" s="432"/>
      <c r="D46" s="432"/>
      <c r="E46" s="432"/>
      <c r="F46" s="432"/>
      <c r="G46" s="432"/>
      <c r="H46" s="432"/>
      <c r="I46" s="432"/>
      <c r="J46" s="468"/>
      <c r="K46" s="237"/>
      <c r="L46" s="237"/>
      <c r="M46" s="237"/>
      <c r="N46" s="237"/>
      <c r="O46" s="237"/>
      <c r="P46" s="237"/>
      <c r="Q46" s="146"/>
      <c r="R46" s="146"/>
      <c r="S46" s="146"/>
      <c r="T46" s="146"/>
      <c r="U46" s="146"/>
      <c r="V46" s="146"/>
      <c r="W46" s="146"/>
      <c r="X46" s="146"/>
      <c r="Y46" s="146"/>
      <c r="AI46" s="323"/>
      <c r="AJ46" s="323"/>
      <c r="AK46" s="323"/>
      <c r="AL46" s="323"/>
      <c r="AM46" s="323"/>
    </row>
    <row r="47" spans="1:39" ht="43.5">
      <c r="A47" s="342"/>
      <c r="B47" s="364" t="s">
        <v>160</v>
      </c>
      <c r="C47" s="609"/>
      <c r="D47" s="463" t="s">
        <v>841</v>
      </c>
      <c r="E47" s="292" t="s">
        <v>60</v>
      </c>
      <c r="F47" s="292" t="s">
        <v>61</v>
      </c>
      <c r="G47" s="181" t="s">
        <v>62</v>
      </c>
      <c r="H47" s="181" t="s">
        <v>843</v>
      </c>
      <c r="I47" s="292" t="s">
        <v>844</v>
      </c>
      <c r="J47" s="468"/>
      <c r="K47" s="237"/>
      <c r="L47" s="237"/>
      <c r="M47" s="237"/>
      <c r="N47" s="237"/>
      <c r="O47" s="237"/>
      <c r="P47" s="237"/>
      <c r="Q47" s="146"/>
      <c r="R47" s="146"/>
      <c r="S47" s="146"/>
      <c r="T47" s="146"/>
      <c r="U47" s="146"/>
      <c r="V47" s="146"/>
      <c r="W47" s="146"/>
      <c r="X47" s="146"/>
      <c r="Y47" s="146"/>
      <c r="AI47" s="323"/>
      <c r="AJ47" s="323"/>
      <c r="AK47" s="323"/>
      <c r="AL47" s="323"/>
      <c r="AM47" s="323"/>
    </row>
    <row r="48" spans="1:39">
      <c r="A48" s="342"/>
      <c r="B48" s="608" t="s">
        <v>1054</v>
      </c>
      <c r="C48" s="590"/>
      <c r="D48" s="141">
        <f>D43</f>
        <v>0</v>
      </c>
      <c r="E48" s="141">
        <f t="shared" ref="E48:I48" si="31">E43</f>
        <v>2512.3452367670402</v>
      </c>
      <c r="F48" s="141">
        <f t="shared" si="31"/>
        <v>3207.7540097431224</v>
      </c>
      <c r="G48" s="141">
        <f t="shared" si="31"/>
        <v>3233.4075861736569</v>
      </c>
      <c r="H48" s="141">
        <f t="shared" si="31"/>
        <v>3259.2663235927448</v>
      </c>
      <c r="I48" s="141">
        <f t="shared" si="31"/>
        <v>3285.331862747491</v>
      </c>
      <c r="J48" s="468"/>
      <c r="K48" s="237"/>
      <c r="L48" s="237"/>
      <c r="M48" s="237"/>
      <c r="N48" s="237"/>
      <c r="O48" s="237"/>
      <c r="P48" s="237"/>
      <c r="Q48" s="146"/>
      <c r="R48" s="146"/>
      <c r="S48" s="146"/>
      <c r="T48" s="146"/>
      <c r="U48" s="146"/>
      <c r="V48" s="146"/>
      <c r="W48" s="146"/>
      <c r="X48" s="146"/>
      <c r="Y48" s="146"/>
      <c r="AI48" s="323"/>
      <c r="AJ48" s="323"/>
      <c r="AK48" s="323"/>
      <c r="AL48" s="323"/>
      <c r="AM48" s="323"/>
    </row>
    <row r="49" spans="1:39">
      <c r="A49" s="342"/>
      <c r="B49" s="604"/>
      <c r="C49" s="368"/>
      <c r="D49" s="205">
        <f t="shared" ref="D49:I49" si="32">SUM(D48:D48)</f>
        <v>0</v>
      </c>
      <c r="E49" s="205">
        <f t="shared" si="32"/>
        <v>2512.3452367670402</v>
      </c>
      <c r="F49" s="205">
        <f t="shared" si="32"/>
        <v>3207.7540097431224</v>
      </c>
      <c r="G49" s="205">
        <f t="shared" si="32"/>
        <v>3233.4075861736569</v>
      </c>
      <c r="H49" s="205">
        <f t="shared" si="32"/>
        <v>3259.2663235927448</v>
      </c>
      <c r="I49" s="205">
        <f t="shared" si="32"/>
        <v>3285.331862747491</v>
      </c>
      <c r="J49" s="468"/>
      <c r="K49" s="237"/>
      <c r="L49" s="237"/>
      <c r="M49" s="237"/>
      <c r="N49" s="237"/>
      <c r="O49" s="237"/>
      <c r="P49" s="237"/>
      <c r="Q49" s="146"/>
      <c r="R49" s="146"/>
      <c r="S49" s="146"/>
      <c r="T49" s="146"/>
      <c r="U49" s="146"/>
      <c r="V49" s="146"/>
      <c r="W49" s="146"/>
      <c r="X49" s="146"/>
      <c r="Y49" s="146"/>
      <c r="AI49" s="323"/>
      <c r="AJ49" s="323"/>
      <c r="AK49" s="323"/>
      <c r="AL49" s="323"/>
      <c r="AM49" s="323"/>
    </row>
    <row r="50" spans="1:39">
      <c r="A50" s="342"/>
      <c r="B50" s="293"/>
      <c r="C50" s="293"/>
      <c r="D50" s="322" t="s">
        <v>1074</v>
      </c>
      <c r="E50" s="205">
        <f>E49-$D$49</f>
        <v>2512.3452367670402</v>
      </c>
      <c r="F50" s="205">
        <f>F49-$D$49</f>
        <v>3207.7540097431224</v>
      </c>
      <c r="G50" s="205">
        <f>G49-$D$49</f>
        <v>3233.4075861736569</v>
      </c>
      <c r="H50" s="205">
        <f>H49-$D$49</f>
        <v>3259.2663235927448</v>
      </c>
      <c r="I50" s="205">
        <f>I49-$D$49</f>
        <v>3285.331862747491</v>
      </c>
      <c r="J50" s="468"/>
      <c r="K50" s="237"/>
      <c r="L50" s="237"/>
      <c r="M50" s="237"/>
      <c r="N50" s="237"/>
      <c r="O50" s="237"/>
      <c r="P50" s="237"/>
      <c r="Q50" s="146"/>
      <c r="R50" s="146"/>
      <c r="S50" s="146"/>
      <c r="T50" s="146"/>
      <c r="U50" s="146"/>
      <c r="V50" s="146"/>
      <c r="W50" s="146"/>
      <c r="X50" s="146"/>
      <c r="Y50" s="146"/>
      <c r="AI50" s="323"/>
      <c r="AJ50" s="323"/>
      <c r="AK50" s="323"/>
      <c r="AL50" s="323"/>
      <c r="AM50" s="323"/>
    </row>
    <row r="51" spans="1:39">
      <c r="A51" s="334"/>
      <c r="B51" s="367"/>
      <c r="C51" s="340"/>
      <c r="D51" s="339"/>
      <c r="E51" s="340"/>
      <c r="F51" s="341"/>
      <c r="G51" s="334"/>
      <c r="H51" s="334"/>
      <c r="I51" s="338"/>
      <c r="J51" s="237"/>
      <c r="K51" s="237"/>
      <c r="L51" s="237"/>
      <c r="M51" s="237"/>
      <c r="N51" s="237"/>
      <c r="O51" s="237"/>
      <c r="P51" s="237"/>
      <c r="Q51" s="146"/>
      <c r="R51" s="146"/>
      <c r="S51" s="146"/>
      <c r="T51" s="146"/>
      <c r="U51" s="146"/>
      <c r="V51" s="146"/>
      <c r="W51" s="146"/>
      <c r="X51" s="146"/>
      <c r="Y51" s="146"/>
      <c r="AI51" s="323"/>
      <c r="AJ51" s="323"/>
      <c r="AK51" s="323"/>
      <c r="AL51" s="323"/>
      <c r="AM51" s="323"/>
    </row>
    <row r="52" spans="1:39">
      <c r="A52" s="342"/>
      <c r="B52" s="431" t="s">
        <v>1091</v>
      </c>
      <c r="C52" s="432"/>
      <c r="D52" s="432"/>
      <c r="E52" s="432"/>
      <c r="F52" s="432"/>
      <c r="G52" s="432"/>
      <c r="H52" s="432"/>
      <c r="I52" s="432"/>
      <c r="J52" s="468"/>
      <c r="K52" s="237"/>
      <c r="L52" s="237"/>
      <c r="M52" s="237"/>
      <c r="N52" s="237"/>
      <c r="O52" s="237"/>
      <c r="P52" s="237"/>
      <c r="Q52" s="146"/>
      <c r="R52" s="146"/>
      <c r="S52" s="146"/>
      <c r="T52" s="146"/>
      <c r="U52" s="146"/>
      <c r="V52" s="146"/>
      <c r="W52" s="146"/>
      <c r="X52" s="146"/>
      <c r="Y52" s="146"/>
      <c r="AI52" s="323"/>
      <c r="AJ52" s="323"/>
      <c r="AK52" s="323"/>
      <c r="AL52" s="323"/>
      <c r="AM52" s="323"/>
    </row>
    <row r="53" spans="1:39" ht="43.5">
      <c r="A53" s="342"/>
      <c r="B53" s="364" t="s">
        <v>160</v>
      </c>
      <c r="C53" s="609"/>
      <c r="D53" s="463" t="s">
        <v>841</v>
      </c>
      <c r="E53" s="292" t="s">
        <v>60</v>
      </c>
      <c r="F53" s="292" t="s">
        <v>61</v>
      </c>
      <c r="G53" s="181" t="s">
        <v>62</v>
      </c>
      <c r="H53" s="181" t="s">
        <v>843</v>
      </c>
      <c r="I53" s="292" t="s">
        <v>844</v>
      </c>
      <c r="J53" s="468"/>
      <c r="K53" s="237"/>
      <c r="L53" s="237"/>
      <c r="M53" s="237"/>
      <c r="N53" s="237"/>
      <c r="O53" s="237"/>
      <c r="P53" s="237"/>
      <c r="Q53" s="146"/>
      <c r="R53" s="146"/>
      <c r="S53" s="146"/>
      <c r="T53" s="146"/>
      <c r="U53" s="146"/>
      <c r="V53" s="146"/>
      <c r="W53" s="146"/>
      <c r="X53" s="146"/>
      <c r="Y53" s="146"/>
      <c r="AI53" s="323"/>
      <c r="AJ53" s="323"/>
      <c r="AK53" s="323"/>
      <c r="AL53" s="323"/>
      <c r="AM53" s="323"/>
    </row>
    <row r="54" spans="1:39">
      <c r="A54" s="342"/>
      <c r="B54" s="608" t="s">
        <v>1057</v>
      </c>
      <c r="C54" s="651"/>
      <c r="D54" s="141">
        <f>D41+D34</f>
        <v>0</v>
      </c>
      <c r="E54" s="141">
        <f t="shared" ref="E54:I54" si="33">E41+E34</f>
        <v>1370.3701291456582</v>
      </c>
      <c r="F54" s="141">
        <f t="shared" si="33"/>
        <v>1749.6840053144304</v>
      </c>
      <c r="G54" s="141">
        <f t="shared" si="33"/>
        <v>1763.676865185631</v>
      </c>
      <c r="H54" s="141">
        <f t="shared" si="33"/>
        <v>1777.7816310505882</v>
      </c>
      <c r="I54" s="141">
        <f t="shared" si="33"/>
        <v>1791.9991978622679</v>
      </c>
      <c r="J54" s="468"/>
      <c r="K54" s="237"/>
      <c r="L54" s="237"/>
      <c r="M54" s="237"/>
      <c r="N54" s="237"/>
      <c r="O54" s="237"/>
      <c r="P54" s="237"/>
      <c r="Q54" s="146"/>
      <c r="R54" s="146"/>
      <c r="S54" s="146"/>
      <c r="T54" s="146"/>
      <c r="U54" s="146"/>
      <c r="V54" s="146"/>
      <c r="W54" s="146"/>
      <c r="X54" s="146"/>
      <c r="Y54" s="146"/>
      <c r="AI54" s="323"/>
      <c r="AJ54" s="323"/>
      <c r="AK54" s="323"/>
      <c r="AL54" s="323"/>
      <c r="AM54" s="323"/>
    </row>
    <row r="55" spans="1:39">
      <c r="A55" s="342"/>
      <c r="B55" s="604"/>
      <c r="C55" s="368"/>
      <c r="D55" s="205">
        <f t="shared" ref="D55:I55" si="34">SUM(D54:D54)</f>
        <v>0</v>
      </c>
      <c r="E55" s="205">
        <f t="shared" si="34"/>
        <v>1370.3701291456582</v>
      </c>
      <c r="F55" s="205">
        <f t="shared" si="34"/>
        <v>1749.6840053144304</v>
      </c>
      <c r="G55" s="205">
        <f t="shared" si="34"/>
        <v>1763.676865185631</v>
      </c>
      <c r="H55" s="205">
        <f t="shared" si="34"/>
        <v>1777.7816310505882</v>
      </c>
      <c r="I55" s="205">
        <f t="shared" si="34"/>
        <v>1791.9991978622679</v>
      </c>
      <c r="J55" s="468"/>
      <c r="K55" s="237"/>
      <c r="L55" s="237"/>
      <c r="M55" s="237"/>
      <c r="N55" s="237"/>
      <c r="O55" s="237"/>
      <c r="P55" s="237"/>
      <c r="Q55" s="146"/>
      <c r="R55" s="146"/>
      <c r="S55" s="146"/>
      <c r="T55" s="146"/>
      <c r="U55" s="146"/>
      <c r="V55" s="146"/>
      <c r="W55" s="146"/>
      <c r="X55" s="146"/>
      <c r="Y55" s="146"/>
      <c r="AI55" s="323"/>
      <c r="AJ55" s="323"/>
      <c r="AK55" s="323"/>
      <c r="AL55" s="323"/>
      <c r="AM55" s="323"/>
    </row>
    <row r="56" spans="1:39">
      <c r="A56" s="342"/>
      <c r="B56" s="293"/>
      <c r="C56" s="293"/>
      <c r="D56" s="322" t="s">
        <v>1095</v>
      </c>
      <c r="E56" s="205">
        <f>E55-D55</f>
        <v>1370.3701291456582</v>
      </c>
      <c r="F56" s="205">
        <f>F55-$D$55</f>
        <v>1749.6840053144304</v>
      </c>
      <c r="G56" s="205">
        <f t="shared" ref="G56:I56" si="35">G55-$D$55</f>
        <v>1763.676865185631</v>
      </c>
      <c r="H56" s="205">
        <f t="shared" si="35"/>
        <v>1777.7816310505882</v>
      </c>
      <c r="I56" s="205">
        <f t="shared" si="35"/>
        <v>1791.9991978622679</v>
      </c>
      <c r="J56" s="468"/>
      <c r="K56" s="237"/>
      <c r="L56" s="237"/>
      <c r="M56" s="237"/>
      <c r="N56" s="237"/>
      <c r="O56" s="237"/>
      <c r="P56" s="237"/>
      <c r="Q56" s="146"/>
      <c r="R56" s="146"/>
      <c r="S56" s="146"/>
      <c r="T56" s="146"/>
      <c r="U56" s="146"/>
      <c r="V56" s="146"/>
      <c r="W56" s="146"/>
      <c r="X56" s="146"/>
      <c r="Y56" s="146"/>
      <c r="AI56" s="323"/>
      <c r="AJ56" s="323"/>
      <c r="AK56" s="323"/>
      <c r="AL56" s="323"/>
      <c r="AM56" s="323"/>
    </row>
    <row r="57" spans="1:39">
      <c r="A57" s="334"/>
      <c r="B57" s="367"/>
      <c r="C57" s="340"/>
      <c r="D57" s="339"/>
      <c r="E57" s="340"/>
      <c r="F57" s="341"/>
      <c r="G57" s="334"/>
      <c r="H57" s="334"/>
      <c r="I57" s="338"/>
      <c r="J57" s="237"/>
      <c r="K57" s="237"/>
      <c r="L57" s="237"/>
      <c r="M57" s="237"/>
      <c r="N57" s="237"/>
      <c r="O57" s="237"/>
      <c r="P57" s="237"/>
      <c r="Q57" s="146"/>
      <c r="R57" s="146"/>
      <c r="S57" s="146"/>
      <c r="T57" s="146"/>
      <c r="U57" s="146"/>
      <c r="V57" s="146"/>
      <c r="W57" s="146"/>
      <c r="X57" s="146"/>
      <c r="Y57" s="146"/>
      <c r="AI57" s="323"/>
      <c r="AJ57" s="323"/>
      <c r="AK57" s="323"/>
      <c r="AL57" s="323"/>
      <c r="AM57" s="323"/>
    </row>
    <row r="58" spans="1:39">
      <c r="A58" s="334"/>
      <c r="B58" s="605" t="s">
        <v>1092</v>
      </c>
      <c r="C58" s="432"/>
      <c r="D58" s="432"/>
      <c r="E58" s="432"/>
      <c r="F58" s="432"/>
      <c r="G58" s="432"/>
      <c r="H58" s="432"/>
      <c r="I58" s="236"/>
      <c r="J58" s="237"/>
      <c r="K58" s="237"/>
      <c r="L58" s="237"/>
      <c r="M58" s="237"/>
      <c r="N58" s="237"/>
      <c r="O58" s="237"/>
      <c r="P58" s="237"/>
      <c r="Q58" s="146"/>
      <c r="R58" s="146"/>
      <c r="S58" s="146"/>
      <c r="T58" s="146"/>
      <c r="U58" s="146"/>
      <c r="V58" s="146"/>
      <c r="W58" s="146"/>
      <c r="X58" s="146"/>
      <c r="Y58" s="146"/>
      <c r="AI58" s="323"/>
      <c r="AJ58" s="323"/>
      <c r="AK58" s="323"/>
      <c r="AL58" s="323"/>
      <c r="AM58" s="323"/>
    </row>
    <row r="59" spans="1:39" ht="43.5">
      <c r="A59" s="334"/>
      <c r="B59" s="316" t="s">
        <v>160</v>
      </c>
      <c r="C59" s="182" t="s">
        <v>163</v>
      </c>
      <c r="D59" s="463" t="s">
        <v>841</v>
      </c>
      <c r="E59" s="292" t="s">
        <v>60</v>
      </c>
      <c r="F59" s="292" t="s">
        <v>61</v>
      </c>
      <c r="G59" s="181" t="s">
        <v>62</v>
      </c>
      <c r="H59" s="181" t="s">
        <v>843</v>
      </c>
      <c r="I59" s="292" t="s">
        <v>844</v>
      </c>
      <c r="J59" s="237"/>
      <c r="K59" s="463" t="s">
        <v>841</v>
      </c>
      <c r="L59" s="628" t="s">
        <v>60</v>
      </c>
      <c r="M59" s="628" t="s">
        <v>61</v>
      </c>
      <c r="N59" s="464" t="s">
        <v>842</v>
      </c>
      <c r="O59" s="464" t="s">
        <v>843</v>
      </c>
      <c r="P59" s="628" t="s">
        <v>844</v>
      </c>
      <c r="Q59" s="146"/>
      <c r="R59" s="146"/>
      <c r="S59" s="146"/>
      <c r="T59" s="146"/>
      <c r="U59" s="146"/>
      <c r="V59" s="146"/>
      <c r="W59" s="146"/>
      <c r="X59" s="146"/>
      <c r="Y59" s="146"/>
      <c r="AI59" s="323"/>
      <c r="AJ59" s="323"/>
      <c r="AK59" s="323"/>
      <c r="AL59" s="323"/>
      <c r="AM59" s="323"/>
    </row>
    <row r="60" spans="1:39">
      <c r="A60" s="334"/>
      <c r="B60" s="220" t="s">
        <v>1094</v>
      </c>
      <c r="C60" s="329">
        <f>'Unit costs'!N27</f>
        <v>50</v>
      </c>
      <c r="D60" s="141">
        <f>D42</f>
        <v>0</v>
      </c>
      <c r="E60" s="141">
        <f t="shared" ref="E60:I60" si="36">E42</f>
        <v>1256.1726183835201</v>
      </c>
      <c r="F60" s="141">
        <f t="shared" si="36"/>
        <v>1603.8770048715612</v>
      </c>
      <c r="G60" s="141">
        <f t="shared" si="36"/>
        <v>1616.7037930868285</v>
      </c>
      <c r="H60" s="141">
        <f t="shared" si="36"/>
        <v>1629.6331617963724</v>
      </c>
      <c r="I60" s="141">
        <f t="shared" si="36"/>
        <v>1642.6659313737455</v>
      </c>
      <c r="J60" s="237"/>
      <c r="K60" s="329">
        <f>D60*'Unit costs'!$O$12/1000</f>
        <v>0</v>
      </c>
      <c r="L60" s="329">
        <f>E60*'Unit costs'!$O$12/1000</f>
        <v>15.074071420602243</v>
      </c>
      <c r="M60" s="329">
        <f>F60*'Unit costs'!$O$12/1000</f>
        <v>19.246524058458732</v>
      </c>
      <c r="N60" s="329">
        <f>G60*'Unit costs'!$O$12/1000</f>
        <v>19.400445517041941</v>
      </c>
      <c r="O60" s="329">
        <f>H60*'Unit costs'!$O$12/1000</f>
        <v>19.555597941556467</v>
      </c>
      <c r="P60" s="329">
        <f>I60*'Unit costs'!$O$12/1000</f>
        <v>19.711991176484947</v>
      </c>
      <c r="Q60" s="146"/>
      <c r="R60" s="146"/>
      <c r="S60" s="146"/>
      <c r="T60" s="146"/>
      <c r="U60" s="146"/>
      <c r="V60" s="146"/>
      <c r="W60" s="146"/>
      <c r="X60" s="146"/>
      <c r="Y60" s="146"/>
      <c r="AI60" s="323"/>
      <c r="AJ60" s="323"/>
      <c r="AK60" s="323"/>
      <c r="AL60" s="323"/>
      <c r="AM60" s="323"/>
    </row>
    <row r="61" spans="1:39">
      <c r="A61" s="334"/>
      <c r="B61" s="317"/>
      <c r="C61" s="320"/>
      <c r="D61" s="205">
        <f t="shared" ref="D61:I61" si="37">SUM(D60:D60)</f>
        <v>0</v>
      </c>
      <c r="E61" s="205">
        <f t="shared" si="37"/>
        <v>1256.1726183835201</v>
      </c>
      <c r="F61" s="205">
        <f t="shared" si="37"/>
        <v>1603.8770048715612</v>
      </c>
      <c r="G61" s="205">
        <f t="shared" si="37"/>
        <v>1616.7037930868285</v>
      </c>
      <c r="H61" s="205">
        <f t="shared" si="37"/>
        <v>1629.6331617963724</v>
      </c>
      <c r="I61" s="205">
        <f t="shared" si="37"/>
        <v>1642.6659313737455</v>
      </c>
      <c r="J61" s="237"/>
      <c r="K61" s="330">
        <f t="shared" ref="K61:P61" si="38">SUM(K60:K60)</f>
        <v>0</v>
      </c>
      <c r="L61" s="330">
        <f t="shared" si="38"/>
        <v>15.074071420602243</v>
      </c>
      <c r="M61" s="330">
        <f t="shared" si="38"/>
        <v>19.246524058458732</v>
      </c>
      <c r="N61" s="330">
        <f t="shared" si="38"/>
        <v>19.400445517041941</v>
      </c>
      <c r="O61" s="330">
        <f t="shared" si="38"/>
        <v>19.555597941556467</v>
      </c>
      <c r="P61" s="330">
        <f t="shared" si="38"/>
        <v>19.711991176484947</v>
      </c>
      <c r="Q61" s="146"/>
      <c r="R61" s="146"/>
      <c r="S61" s="146"/>
      <c r="T61" s="146"/>
      <c r="U61" s="146"/>
      <c r="V61" s="146"/>
      <c r="W61" s="146"/>
      <c r="X61" s="146"/>
      <c r="Y61" s="146"/>
      <c r="AI61" s="323"/>
      <c r="AJ61" s="323"/>
      <c r="AK61" s="323"/>
      <c r="AL61" s="323"/>
      <c r="AM61" s="323"/>
    </row>
    <row r="62" spans="1:39">
      <c r="A62" s="334"/>
      <c r="B62" s="348"/>
      <c r="C62" s="293"/>
      <c r="D62" s="322" t="s">
        <v>1096</v>
      </c>
      <c r="E62" s="205">
        <f>E61-D61</f>
        <v>1256.1726183835201</v>
      </c>
      <c r="F62" s="205">
        <f>F61-$D$55</f>
        <v>1603.8770048715612</v>
      </c>
      <c r="G62" s="205">
        <f t="shared" ref="G62:I62" si="39">G61-$D$55</f>
        <v>1616.7037930868285</v>
      </c>
      <c r="H62" s="205">
        <f t="shared" si="39"/>
        <v>1629.6331617963724</v>
      </c>
      <c r="I62" s="205">
        <f t="shared" si="39"/>
        <v>1642.6659313737455</v>
      </c>
      <c r="J62" s="237"/>
      <c r="K62" s="634"/>
      <c r="L62" s="330">
        <f>L61-$K61</f>
        <v>15.074071420602243</v>
      </c>
      <c r="M62" s="330">
        <f t="shared" ref="M62:P62" si="40">M61-$K61</f>
        <v>19.246524058458732</v>
      </c>
      <c r="N62" s="330">
        <f t="shared" si="40"/>
        <v>19.400445517041941</v>
      </c>
      <c r="O62" s="330">
        <f t="shared" si="40"/>
        <v>19.555597941556467</v>
      </c>
      <c r="P62" s="330">
        <f t="shared" si="40"/>
        <v>19.711991176484947</v>
      </c>
      <c r="Q62" s="146"/>
      <c r="R62" s="146"/>
      <c r="S62" s="146"/>
      <c r="T62" s="146"/>
      <c r="U62" s="146"/>
      <c r="V62" s="146"/>
      <c r="W62" s="146"/>
      <c r="X62" s="146"/>
      <c r="Y62" s="146"/>
      <c r="AI62" s="323"/>
      <c r="AJ62" s="323"/>
      <c r="AK62" s="323"/>
      <c r="AL62" s="323"/>
      <c r="AM62" s="323"/>
    </row>
    <row r="63" spans="1:39">
      <c r="A63" s="334"/>
      <c r="B63" s="367"/>
      <c r="C63" s="340"/>
      <c r="D63" s="339"/>
      <c r="E63" s="340"/>
      <c r="F63" s="341"/>
      <c r="G63" s="334"/>
      <c r="H63" s="334"/>
      <c r="I63" s="338"/>
      <c r="J63" s="237"/>
      <c r="K63" s="237"/>
      <c r="L63" s="237"/>
      <c r="M63" s="237"/>
      <c r="N63" s="237"/>
      <c r="O63" s="237"/>
      <c r="P63" s="237"/>
      <c r="Q63" s="146"/>
      <c r="R63" s="146"/>
      <c r="S63" s="146"/>
      <c r="T63" s="146"/>
      <c r="U63" s="146"/>
      <c r="V63" s="146"/>
      <c r="W63" s="146"/>
      <c r="X63" s="146"/>
      <c r="Y63" s="146"/>
      <c r="AI63" s="323"/>
      <c r="AJ63" s="323"/>
      <c r="AK63" s="323"/>
      <c r="AL63" s="323"/>
      <c r="AM63" s="323"/>
    </row>
    <row r="64" spans="1:39">
      <c r="A64" s="342"/>
      <c r="B64" s="431" t="s">
        <v>1105</v>
      </c>
      <c r="C64" s="432"/>
      <c r="D64" s="432"/>
      <c r="E64" s="432"/>
      <c r="F64" s="432"/>
      <c r="G64" s="432"/>
      <c r="H64" s="432"/>
      <c r="I64" s="432"/>
      <c r="J64" s="468"/>
      <c r="K64" s="237"/>
      <c r="L64" s="237"/>
      <c r="M64" s="237"/>
      <c r="N64" s="237"/>
      <c r="O64" s="237"/>
      <c r="P64" s="237"/>
      <c r="Q64" s="146"/>
      <c r="R64" s="146"/>
      <c r="S64" s="146"/>
      <c r="T64" s="146"/>
      <c r="U64" s="146"/>
      <c r="V64" s="146"/>
      <c r="W64" s="146"/>
      <c r="X64" s="146"/>
      <c r="Y64" s="146"/>
      <c r="AI64" s="323"/>
      <c r="AJ64" s="323"/>
      <c r="AK64" s="323"/>
      <c r="AL64" s="323"/>
      <c r="AM64" s="323"/>
    </row>
    <row r="65" spans="1:39" ht="43.5">
      <c r="A65" s="342"/>
      <c r="B65" s="364" t="s">
        <v>160</v>
      </c>
      <c r="C65" s="182" t="s">
        <v>858</v>
      </c>
      <c r="D65" s="463" t="s">
        <v>841</v>
      </c>
      <c r="E65" s="292" t="s">
        <v>60</v>
      </c>
      <c r="F65" s="292" t="s">
        <v>61</v>
      </c>
      <c r="G65" s="181" t="s">
        <v>62</v>
      </c>
      <c r="H65" s="181" t="s">
        <v>843</v>
      </c>
      <c r="I65" s="292" t="s">
        <v>844</v>
      </c>
      <c r="J65" s="468"/>
      <c r="K65" s="237"/>
      <c r="L65" s="237"/>
      <c r="M65" s="237"/>
      <c r="N65" s="237"/>
      <c r="O65" s="237"/>
      <c r="P65" s="237"/>
      <c r="U65" s="146"/>
      <c r="AI65" s="323"/>
      <c r="AJ65" s="323"/>
      <c r="AK65" s="323"/>
      <c r="AL65" s="323"/>
      <c r="AM65" s="323"/>
    </row>
    <row r="66" spans="1:39">
      <c r="A66" s="342"/>
      <c r="B66" s="391" t="s">
        <v>1072</v>
      </c>
      <c r="C66" s="333">
        <f>'Inputs and eligible population'!F50</f>
        <v>12</v>
      </c>
      <c r="D66" s="141">
        <f>'Financial impact (cash)'!D13*$C$66</f>
        <v>0</v>
      </c>
      <c r="E66" s="141">
        <f>'Financial impact (cash)'!E13*$C$66</f>
        <v>1370.3701291456582</v>
      </c>
      <c r="F66" s="141">
        <f>'Financial impact (cash)'!F13*$C$66</f>
        <v>1749.6840053144304</v>
      </c>
      <c r="G66" s="141">
        <f>'Financial impact (cash)'!G13*$C$66</f>
        <v>1763.676865185631</v>
      </c>
      <c r="H66" s="141">
        <f>'Financial impact (cash)'!H13*$C$66</f>
        <v>1777.7816310505882</v>
      </c>
      <c r="I66" s="141">
        <f>'Financial impact (cash)'!I13*$C$66</f>
        <v>1791.9991978622679</v>
      </c>
      <c r="J66" s="468"/>
      <c r="K66" s="237"/>
      <c r="L66" s="237"/>
      <c r="M66" s="237"/>
      <c r="N66" s="237"/>
      <c r="O66" s="237"/>
      <c r="P66" s="237"/>
      <c r="U66" s="146"/>
      <c r="AI66" s="323"/>
      <c r="AJ66" s="323"/>
      <c r="AK66" s="323"/>
      <c r="AL66" s="323"/>
      <c r="AM66" s="323"/>
    </row>
    <row r="67" spans="1:39">
      <c r="A67" s="342"/>
      <c r="B67" s="391" t="s">
        <v>1073</v>
      </c>
      <c r="C67" s="333">
        <f>C66</f>
        <v>12</v>
      </c>
      <c r="D67" s="141">
        <f>'Financial impact (cash)'!D14*$C$66</f>
        <v>0</v>
      </c>
      <c r="E67" s="141">
        <f>'Financial impact (cash)'!E14*$C$66</f>
        <v>1370.3701291456582</v>
      </c>
      <c r="F67" s="141">
        <f>'Financial impact (cash)'!F14*$C$66</f>
        <v>1749.6840053144304</v>
      </c>
      <c r="G67" s="141">
        <f>'Financial impact (cash)'!G14*$C$66</f>
        <v>1763.676865185631</v>
      </c>
      <c r="H67" s="141">
        <f>'Financial impact (cash)'!H14*$C$66</f>
        <v>1777.7816310505882</v>
      </c>
      <c r="I67" s="141">
        <f>'Financial impact (cash)'!I14*$C$66</f>
        <v>1791.9991978622679</v>
      </c>
      <c r="J67" s="237"/>
      <c r="K67" s="237"/>
      <c r="L67" s="237"/>
      <c r="M67" s="237"/>
      <c r="N67" s="237"/>
      <c r="O67" s="237"/>
      <c r="P67" s="237"/>
      <c r="U67" s="146"/>
      <c r="AI67" s="323"/>
      <c r="AJ67" s="323"/>
      <c r="AK67" s="323"/>
      <c r="AL67" s="323"/>
      <c r="AM67" s="323"/>
    </row>
    <row r="68" spans="1:39">
      <c r="A68" s="342"/>
      <c r="B68" s="368"/>
      <c r="C68" s="368"/>
      <c r="D68" s="205">
        <f>SUM(D66:D67)</f>
        <v>0</v>
      </c>
      <c r="E68" s="205">
        <f t="shared" ref="E68:I68" si="41">SUM(E66:E67)</f>
        <v>2740.7402582913164</v>
      </c>
      <c r="F68" s="205">
        <f t="shared" si="41"/>
        <v>3499.3680106288607</v>
      </c>
      <c r="G68" s="205">
        <f t="shared" si="41"/>
        <v>3527.3537303712619</v>
      </c>
      <c r="H68" s="205">
        <f t="shared" si="41"/>
        <v>3555.5632621011764</v>
      </c>
      <c r="I68" s="205">
        <f t="shared" si="41"/>
        <v>3583.9983957245358</v>
      </c>
      <c r="J68" s="334"/>
      <c r="K68" s="334"/>
      <c r="L68" s="334"/>
      <c r="M68" s="334"/>
      <c r="N68" s="334"/>
      <c r="O68" s="334"/>
      <c r="P68" s="334"/>
      <c r="U68" s="146"/>
      <c r="AI68" s="323"/>
      <c r="AJ68" s="323"/>
      <c r="AK68" s="323"/>
      <c r="AL68" s="323"/>
      <c r="AM68" s="323"/>
    </row>
    <row r="69" spans="1:39">
      <c r="A69" s="342"/>
      <c r="B69" s="293"/>
      <c r="C69" s="293"/>
      <c r="D69" s="322" t="s">
        <v>859</v>
      </c>
      <c r="E69" s="205">
        <f>E68-$D$68</f>
        <v>2740.7402582913164</v>
      </c>
      <c r="F69" s="205">
        <f>F68-$D$68</f>
        <v>3499.3680106288607</v>
      </c>
      <c r="G69" s="205">
        <f>G68-$D$68</f>
        <v>3527.3537303712619</v>
      </c>
      <c r="H69" s="205">
        <f>H68-$D$68</f>
        <v>3555.5632621011764</v>
      </c>
      <c r="I69" s="205">
        <f>I68-$D$68</f>
        <v>3583.9983957245358</v>
      </c>
      <c r="J69" s="334"/>
      <c r="K69" s="334"/>
      <c r="L69" s="334"/>
      <c r="M69" s="334"/>
      <c r="N69" s="334"/>
      <c r="O69" s="334"/>
      <c r="P69" s="334"/>
      <c r="R69" s="146"/>
      <c r="S69" s="146"/>
      <c r="T69" s="146"/>
      <c r="U69" s="146"/>
      <c r="V69" s="146"/>
      <c r="W69" s="146"/>
      <c r="X69" s="146"/>
      <c r="Y69" s="146"/>
      <c r="AI69" s="323"/>
      <c r="AJ69" s="323"/>
      <c r="AK69" s="323"/>
      <c r="AL69" s="323"/>
      <c r="AM69" s="323"/>
    </row>
    <row r="70" spans="1:39">
      <c r="A70" s="334"/>
      <c r="B70" s="367"/>
      <c r="C70" s="340"/>
      <c r="D70" s="340"/>
      <c r="E70" s="341"/>
      <c r="F70" s="334"/>
      <c r="G70" s="334"/>
      <c r="H70" s="237"/>
      <c r="I70" s="237"/>
      <c r="J70" s="237"/>
      <c r="K70" s="237"/>
      <c r="L70" s="237"/>
      <c r="M70" s="237"/>
      <c r="N70" s="237"/>
      <c r="O70" s="237"/>
      <c r="P70" s="237"/>
      <c r="R70" s="146"/>
      <c r="S70" s="146"/>
      <c r="T70" s="146"/>
      <c r="U70" s="146"/>
      <c r="V70" s="146"/>
      <c r="W70" s="146"/>
      <c r="X70" s="146"/>
      <c r="Y70" s="146"/>
      <c r="AI70" s="323"/>
      <c r="AJ70" s="323"/>
      <c r="AK70" s="323"/>
      <c r="AL70" s="323"/>
      <c r="AM70" s="323"/>
    </row>
    <row r="71" spans="1:39">
      <c r="A71" s="324"/>
      <c r="B71" s="369" t="s">
        <v>860</v>
      </c>
      <c r="C71" s="344"/>
      <c r="D71" s="344"/>
      <c r="E71" s="345"/>
      <c r="F71" s="346"/>
      <c r="G71" s="347"/>
      <c r="H71" s="347"/>
      <c r="I71" s="347"/>
      <c r="J71" s="475"/>
      <c r="K71" s="324"/>
      <c r="L71" s="324"/>
      <c r="M71" s="324"/>
      <c r="N71" s="324"/>
      <c r="O71" s="324"/>
      <c r="P71" s="239"/>
      <c r="U71" s="146"/>
    </row>
    <row r="72" spans="1:39">
      <c r="A72" s="324"/>
      <c r="B72" s="433" t="s">
        <v>861</v>
      </c>
      <c r="C72" s="434"/>
      <c r="D72" s="434"/>
      <c r="E72" s="434"/>
      <c r="F72" s="434"/>
      <c r="G72" s="434"/>
      <c r="H72" s="434"/>
      <c r="I72" s="238"/>
      <c r="J72" s="470"/>
      <c r="K72" s="469"/>
      <c r="L72" s="469"/>
      <c r="M72" s="469"/>
      <c r="N72" s="469"/>
      <c r="O72" s="469"/>
      <c r="P72" s="469"/>
      <c r="U72" s="146"/>
    </row>
    <row r="73" spans="1:39" ht="74.5" customHeight="1">
      <c r="A73" s="324"/>
      <c r="B73" s="319" t="s">
        <v>160</v>
      </c>
      <c r="C73" s="182" t="s">
        <v>862</v>
      </c>
      <c r="D73" s="463" t="s">
        <v>841</v>
      </c>
      <c r="E73" s="292" t="s">
        <v>60</v>
      </c>
      <c r="F73" s="292" t="s">
        <v>61</v>
      </c>
      <c r="G73" s="181" t="s">
        <v>62</v>
      </c>
      <c r="H73" s="181" t="s">
        <v>843</v>
      </c>
      <c r="I73" s="292" t="s">
        <v>844</v>
      </c>
      <c r="J73" s="324"/>
      <c r="K73" s="463" t="s">
        <v>841</v>
      </c>
      <c r="L73" s="628" t="s">
        <v>60</v>
      </c>
      <c r="M73" s="628" t="s">
        <v>61</v>
      </c>
      <c r="N73" s="464" t="s">
        <v>842</v>
      </c>
      <c r="O73" s="464" t="s">
        <v>843</v>
      </c>
      <c r="P73" s="628" t="s">
        <v>844</v>
      </c>
      <c r="U73" s="146"/>
    </row>
    <row r="74" spans="1:39">
      <c r="A74" s="324"/>
      <c r="B74" s="391" t="s">
        <v>1075</v>
      </c>
      <c r="C74" s="165">
        <f>'Inputs and eligible population'!F72</f>
        <v>0</v>
      </c>
      <c r="D74" s="141">
        <f t="shared" ref="D74:I74" si="42">(D66*$C$74)/60</f>
        <v>0</v>
      </c>
      <c r="E74" s="141">
        <f t="shared" si="42"/>
        <v>0</v>
      </c>
      <c r="F74" s="141">
        <f t="shared" si="42"/>
        <v>0</v>
      </c>
      <c r="G74" s="141">
        <f t="shared" si="42"/>
        <v>0</v>
      </c>
      <c r="H74" s="141">
        <f t="shared" si="42"/>
        <v>0</v>
      </c>
      <c r="I74" s="141">
        <f t="shared" si="42"/>
        <v>0</v>
      </c>
      <c r="J74" s="324"/>
      <c r="K74" s="329">
        <f>(D74*'Inputs and eligible population'!$I$72)/1000</f>
        <v>0</v>
      </c>
      <c r="L74" s="329">
        <f>(E74*'Inputs and eligible population'!$I$72)/1000</f>
        <v>0</v>
      </c>
      <c r="M74" s="329">
        <f>(F74*'Inputs and eligible population'!$I$72)/1000</f>
        <v>0</v>
      </c>
      <c r="N74" s="329">
        <f>(G74*'Inputs and eligible population'!$I$72)/1000</f>
        <v>0</v>
      </c>
      <c r="O74" s="329">
        <f>(H74*'Inputs and eligible population'!$I$72)/1000</f>
        <v>0</v>
      </c>
      <c r="P74" s="329">
        <f>(I74*'Inputs and eligible population'!$I$72)/1000</f>
        <v>0</v>
      </c>
      <c r="R74" s="146"/>
      <c r="S74" s="146"/>
      <c r="T74" s="146"/>
      <c r="U74" s="146"/>
      <c r="V74" s="146"/>
      <c r="W74" s="146"/>
      <c r="X74" s="146"/>
      <c r="Y74" s="146"/>
      <c r="AI74" s="323"/>
      <c r="AJ74" s="323"/>
      <c r="AK74" s="323"/>
      <c r="AL74" s="323"/>
      <c r="AM74" s="323"/>
    </row>
    <row r="75" spans="1:39">
      <c r="A75" s="324"/>
      <c r="B75" s="320" t="s">
        <v>863</v>
      </c>
      <c r="C75" s="368"/>
      <c r="D75" s="205">
        <f t="shared" ref="D75:I75" si="43">SUM(D74:D74)</f>
        <v>0</v>
      </c>
      <c r="E75" s="205">
        <f t="shared" si="43"/>
        <v>0</v>
      </c>
      <c r="F75" s="205">
        <f t="shared" si="43"/>
        <v>0</v>
      </c>
      <c r="G75" s="205">
        <f t="shared" si="43"/>
        <v>0</v>
      </c>
      <c r="H75" s="205">
        <f t="shared" si="43"/>
        <v>0</v>
      </c>
      <c r="I75" s="205">
        <f t="shared" si="43"/>
        <v>0</v>
      </c>
      <c r="J75" s="324"/>
      <c r="K75" s="330">
        <f t="shared" ref="K75:P75" si="44">SUM(K74:K74)</f>
        <v>0</v>
      </c>
      <c r="L75" s="330">
        <f t="shared" si="44"/>
        <v>0</v>
      </c>
      <c r="M75" s="330">
        <f t="shared" si="44"/>
        <v>0</v>
      </c>
      <c r="N75" s="330">
        <f t="shared" si="44"/>
        <v>0</v>
      </c>
      <c r="O75" s="330">
        <f t="shared" si="44"/>
        <v>0</v>
      </c>
      <c r="P75" s="330">
        <f t="shared" si="44"/>
        <v>0</v>
      </c>
      <c r="R75" s="146"/>
      <c r="S75" s="146"/>
      <c r="T75" s="146"/>
      <c r="U75" s="146"/>
      <c r="V75" s="146"/>
      <c r="W75" s="146"/>
      <c r="X75" s="146"/>
      <c r="Y75" s="146"/>
      <c r="AI75" s="323"/>
      <c r="AJ75" s="323"/>
      <c r="AK75" s="323"/>
      <c r="AL75" s="323"/>
      <c r="AM75" s="323"/>
    </row>
    <row r="76" spans="1:39">
      <c r="A76" s="324"/>
      <c r="B76" s="348"/>
      <c r="C76" s="293"/>
      <c r="D76" s="322" t="s">
        <v>864</v>
      </c>
      <c r="E76" s="205">
        <f>E75-$D$75</f>
        <v>0</v>
      </c>
      <c r="F76" s="205">
        <f>F75-$D$75</f>
        <v>0</v>
      </c>
      <c r="G76" s="205">
        <f>G75-$D$75</f>
        <v>0</v>
      </c>
      <c r="H76" s="205">
        <f>H75-$D$75</f>
        <v>0</v>
      </c>
      <c r="I76" s="205">
        <f>I75-$D$75</f>
        <v>0</v>
      </c>
      <c r="J76" s="324"/>
      <c r="K76" s="629"/>
      <c r="L76" s="330">
        <f>L75-$K$75</f>
        <v>0</v>
      </c>
      <c r="M76" s="330">
        <f t="shared" ref="M76:P76" si="45">M75-$K$75</f>
        <v>0</v>
      </c>
      <c r="N76" s="330">
        <f t="shared" si="45"/>
        <v>0</v>
      </c>
      <c r="O76" s="330">
        <f t="shared" si="45"/>
        <v>0</v>
      </c>
      <c r="P76" s="330">
        <f t="shared" si="45"/>
        <v>0</v>
      </c>
      <c r="R76" s="146"/>
      <c r="S76" s="146"/>
      <c r="T76" s="146"/>
      <c r="U76" s="146"/>
      <c r="V76" s="146"/>
      <c r="W76" s="146"/>
      <c r="X76" s="146"/>
      <c r="Y76" s="146"/>
      <c r="AI76" s="323"/>
      <c r="AJ76" s="323"/>
      <c r="AK76" s="323"/>
      <c r="AL76" s="323"/>
      <c r="AM76" s="323"/>
    </row>
    <row r="77" spans="1:39">
      <c r="A77" s="324"/>
      <c r="B77" s="370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R77" s="146"/>
      <c r="S77" s="146"/>
      <c r="T77" s="146"/>
      <c r="U77" s="146"/>
      <c r="V77" s="146"/>
      <c r="W77" s="146"/>
      <c r="X77" s="146"/>
      <c r="Y77" s="146"/>
      <c r="AI77" s="323"/>
      <c r="AJ77" s="323"/>
      <c r="AK77" s="323"/>
      <c r="AL77" s="323"/>
      <c r="AM77" s="323"/>
    </row>
    <row r="78" spans="1:39">
      <c r="A78" s="324"/>
      <c r="B78" s="435" t="s">
        <v>865</v>
      </c>
      <c r="C78" s="434"/>
      <c r="D78" s="434"/>
      <c r="E78" s="434"/>
      <c r="F78" s="434"/>
      <c r="G78" s="434"/>
      <c r="H78" s="434"/>
      <c r="I78" s="238"/>
      <c r="J78" s="470"/>
      <c r="K78" s="469"/>
      <c r="L78" s="469"/>
      <c r="M78" s="469"/>
      <c r="N78" s="469"/>
      <c r="O78" s="469"/>
      <c r="P78" s="469"/>
      <c r="R78" s="146"/>
      <c r="S78" s="146"/>
      <c r="T78" s="146"/>
      <c r="U78" s="146"/>
      <c r="V78" s="146"/>
      <c r="W78" s="146"/>
      <c r="X78" s="146"/>
      <c r="Y78" s="146"/>
      <c r="AI78" s="323"/>
      <c r="AJ78" s="323"/>
      <c r="AK78" s="323"/>
      <c r="AL78" s="323"/>
      <c r="AM78" s="323"/>
    </row>
    <row r="79" spans="1:39" ht="72.5">
      <c r="A79" s="324"/>
      <c r="B79" s="319" t="s">
        <v>160</v>
      </c>
      <c r="C79" s="182" t="s">
        <v>104</v>
      </c>
      <c r="D79" s="463" t="s">
        <v>841</v>
      </c>
      <c r="E79" s="292" t="s">
        <v>60</v>
      </c>
      <c r="F79" s="292" t="s">
        <v>61</v>
      </c>
      <c r="G79" s="181" t="s">
        <v>62</v>
      </c>
      <c r="H79" s="181" t="s">
        <v>843</v>
      </c>
      <c r="I79" s="292" t="s">
        <v>844</v>
      </c>
      <c r="J79" s="324"/>
      <c r="K79" s="463" t="s">
        <v>841</v>
      </c>
      <c r="L79" s="292" t="s">
        <v>60</v>
      </c>
      <c r="M79" s="292" t="s">
        <v>61</v>
      </c>
      <c r="N79" s="181" t="s">
        <v>842</v>
      </c>
      <c r="O79" s="181" t="s">
        <v>843</v>
      </c>
      <c r="P79" s="292" t="s">
        <v>844</v>
      </c>
      <c r="R79" s="146"/>
      <c r="S79" s="146"/>
      <c r="T79" s="146"/>
      <c r="U79" s="146"/>
      <c r="V79" s="146"/>
      <c r="W79" s="146"/>
      <c r="X79" s="146"/>
      <c r="Y79" s="146"/>
      <c r="AI79" s="323"/>
      <c r="AJ79" s="323"/>
      <c r="AK79" s="323"/>
      <c r="AL79" s="323"/>
      <c r="AM79" s="323"/>
    </row>
    <row r="80" spans="1:39">
      <c r="A80" s="324"/>
      <c r="B80" s="391" t="s">
        <v>1075</v>
      </c>
      <c r="C80" s="165">
        <f>'Inputs and eligible population'!F73</f>
        <v>0</v>
      </c>
      <c r="D80" s="141">
        <f>($C66*$C80*'Financial impact (cash)'!D13)/60</f>
        <v>0</v>
      </c>
      <c r="E80" s="141">
        <f>($C66*$C80*'Financial impact (cash)'!E13)/60</f>
        <v>0</v>
      </c>
      <c r="F80" s="141">
        <f>($C66*$C80*'Financial impact (cash)'!F13)/60</f>
        <v>0</v>
      </c>
      <c r="G80" s="141">
        <f>($C66*$C80*'Financial impact (cash)'!G13)/60</f>
        <v>0</v>
      </c>
      <c r="H80" s="141">
        <f>($C66*$C80*'Financial impact (cash)'!H13)/60</f>
        <v>0</v>
      </c>
      <c r="I80" s="141">
        <f>($C66*$C80*'Financial impact (cash)'!I13)/60</f>
        <v>0</v>
      </c>
      <c r="J80" s="324"/>
      <c r="K80" s="329">
        <f>(D80*'Inputs and eligible population'!$I$73)/1000</f>
        <v>0</v>
      </c>
      <c r="L80" s="329">
        <f>(E80*'Inputs and eligible population'!$I$73)/1000</f>
        <v>0</v>
      </c>
      <c r="M80" s="329">
        <f>(F80*'Inputs and eligible population'!$I$73)/1000</f>
        <v>0</v>
      </c>
      <c r="N80" s="329">
        <f>(G80*'Inputs and eligible population'!$I$73)/1000</f>
        <v>0</v>
      </c>
      <c r="O80" s="329">
        <f>(H80*'Inputs and eligible population'!$I$73)/1000</f>
        <v>0</v>
      </c>
      <c r="P80" s="329">
        <f>(I80*'Inputs and eligible population'!$I$73)/1000</f>
        <v>0</v>
      </c>
      <c r="R80" s="146"/>
      <c r="S80" s="146"/>
      <c r="T80" s="146"/>
      <c r="U80" s="146"/>
      <c r="V80" s="146"/>
      <c r="W80" s="146"/>
      <c r="X80" s="146"/>
      <c r="Y80" s="146"/>
      <c r="AI80" s="323"/>
      <c r="AJ80" s="323"/>
      <c r="AK80" s="323"/>
      <c r="AL80" s="323"/>
      <c r="AM80" s="323"/>
    </row>
    <row r="81" spans="1:39">
      <c r="A81" s="324"/>
      <c r="B81" s="320"/>
      <c r="C81" s="320"/>
      <c r="D81" s="205">
        <f t="shared" ref="D81:I81" si="46">SUM(D80:D80)</f>
        <v>0</v>
      </c>
      <c r="E81" s="205">
        <f t="shared" si="46"/>
        <v>0</v>
      </c>
      <c r="F81" s="205">
        <f t="shared" si="46"/>
        <v>0</v>
      </c>
      <c r="G81" s="205">
        <f t="shared" si="46"/>
        <v>0</v>
      </c>
      <c r="H81" s="205">
        <f t="shared" si="46"/>
        <v>0</v>
      </c>
      <c r="I81" s="205">
        <f t="shared" si="46"/>
        <v>0</v>
      </c>
      <c r="J81" s="324"/>
      <c r="K81" s="330">
        <f t="shared" ref="K81:P81" si="47">SUM(K80:K80)</f>
        <v>0</v>
      </c>
      <c r="L81" s="330">
        <f t="shared" si="47"/>
        <v>0</v>
      </c>
      <c r="M81" s="330">
        <f t="shared" si="47"/>
        <v>0</v>
      </c>
      <c r="N81" s="330">
        <f t="shared" si="47"/>
        <v>0</v>
      </c>
      <c r="O81" s="330">
        <f t="shared" si="47"/>
        <v>0</v>
      </c>
      <c r="P81" s="330">
        <f t="shared" si="47"/>
        <v>0</v>
      </c>
      <c r="R81" s="146"/>
      <c r="S81" s="146"/>
      <c r="T81" s="146"/>
      <c r="U81" s="146"/>
      <c r="V81" s="146"/>
      <c r="W81" s="146"/>
      <c r="X81" s="146"/>
      <c r="Y81" s="146"/>
      <c r="AI81" s="323"/>
      <c r="AJ81" s="323"/>
      <c r="AK81" s="323"/>
      <c r="AL81" s="323"/>
      <c r="AM81" s="323"/>
    </row>
    <row r="82" spans="1:39">
      <c r="A82" s="324"/>
      <c r="B82" s="320"/>
      <c r="C82" s="320"/>
      <c r="D82" s="322" t="s">
        <v>866</v>
      </c>
      <c r="E82" s="205">
        <f>E81-$D$81</f>
        <v>0</v>
      </c>
      <c r="F82" s="205">
        <f>F81-$D$81</f>
        <v>0</v>
      </c>
      <c r="G82" s="205">
        <f>G81-$D$81</f>
        <v>0</v>
      </c>
      <c r="H82" s="205">
        <f>H81-$D$81</f>
        <v>0</v>
      </c>
      <c r="I82" s="205">
        <f>I81-$D$81</f>
        <v>0</v>
      </c>
      <c r="J82" s="324"/>
      <c r="K82" s="629"/>
      <c r="L82" s="330">
        <f>L81-$K$81</f>
        <v>0</v>
      </c>
      <c r="M82" s="330">
        <f t="shared" ref="M82:P82" si="48">M81-$K$81</f>
        <v>0</v>
      </c>
      <c r="N82" s="330">
        <f t="shared" si="48"/>
        <v>0</v>
      </c>
      <c r="O82" s="330">
        <f t="shared" si="48"/>
        <v>0</v>
      </c>
      <c r="P82" s="330">
        <f t="shared" si="48"/>
        <v>0</v>
      </c>
      <c r="R82" s="146"/>
      <c r="S82" s="146"/>
      <c r="T82" s="146"/>
      <c r="U82" s="146"/>
      <c r="V82" s="146"/>
      <c r="W82" s="146"/>
      <c r="X82" s="146"/>
      <c r="Y82" s="146"/>
      <c r="AI82" s="323"/>
      <c r="AJ82" s="323"/>
      <c r="AK82" s="323"/>
      <c r="AL82" s="323"/>
      <c r="AM82" s="323"/>
    </row>
    <row r="83" spans="1:39">
      <c r="A83" s="324"/>
      <c r="B83" s="370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R83" s="146"/>
      <c r="S83" s="146"/>
      <c r="T83" s="146"/>
      <c r="U83" s="146"/>
      <c r="V83" s="146"/>
      <c r="W83" s="146"/>
      <c r="X83" s="146"/>
      <c r="Y83" s="146"/>
      <c r="AI83" s="323"/>
      <c r="AJ83" s="323"/>
      <c r="AK83" s="323"/>
      <c r="AL83" s="323"/>
      <c r="AM83" s="323"/>
    </row>
    <row r="84" spans="1:39">
      <c r="A84" s="324"/>
      <c r="B84" s="435" t="s">
        <v>217</v>
      </c>
      <c r="C84" s="434"/>
      <c r="D84" s="434"/>
      <c r="E84" s="434"/>
      <c r="F84" s="434"/>
      <c r="G84" s="434"/>
      <c r="H84" s="434"/>
      <c r="I84" s="238"/>
      <c r="J84" s="470"/>
      <c r="K84" s="469"/>
      <c r="L84" s="469"/>
      <c r="M84" s="469"/>
      <c r="N84" s="469"/>
      <c r="O84" s="469"/>
      <c r="P84" s="469"/>
      <c r="U84" s="146"/>
      <c r="AI84" s="323"/>
      <c r="AJ84" s="323"/>
      <c r="AK84" s="323"/>
      <c r="AL84" s="323"/>
      <c r="AM84" s="323"/>
    </row>
    <row r="85" spans="1:39" ht="58">
      <c r="A85" s="324"/>
      <c r="B85" s="319" t="s">
        <v>160</v>
      </c>
      <c r="C85" s="182" t="s">
        <v>105</v>
      </c>
      <c r="D85" s="463" t="s">
        <v>841</v>
      </c>
      <c r="E85" s="292" t="s">
        <v>60</v>
      </c>
      <c r="F85" s="292" t="s">
        <v>61</v>
      </c>
      <c r="G85" s="181" t="s">
        <v>62</v>
      </c>
      <c r="H85" s="181" t="s">
        <v>843</v>
      </c>
      <c r="I85" s="292" t="s">
        <v>844</v>
      </c>
      <c r="J85" s="324"/>
      <c r="K85" s="463" t="s">
        <v>841</v>
      </c>
      <c r="L85" s="292" t="s">
        <v>60</v>
      </c>
      <c r="M85" s="292" t="s">
        <v>61</v>
      </c>
      <c r="N85" s="181" t="s">
        <v>842</v>
      </c>
      <c r="O85" s="181" t="s">
        <v>843</v>
      </c>
      <c r="P85" s="292" t="s">
        <v>844</v>
      </c>
      <c r="U85" s="146"/>
      <c r="AI85" s="323"/>
      <c r="AJ85" s="323"/>
      <c r="AK85" s="323"/>
      <c r="AL85" s="323"/>
      <c r="AM85" s="323"/>
    </row>
    <row r="86" spans="1:39">
      <c r="A86" s="324"/>
      <c r="B86" s="391" t="s">
        <v>1075</v>
      </c>
      <c r="C86" s="165">
        <f>'Inputs and eligible population'!F74</f>
        <v>0</v>
      </c>
      <c r="D86" s="141">
        <f>($C66*$C86*'Financial impact (cash)'!D13)/60</f>
        <v>0</v>
      </c>
      <c r="E86" s="141">
        <f>($C66*$C86*'Financial impact (cash)'!E13)/60</f>
        <v>0</v>
      </c>
      <c r="F86" s="141">
        <f>($C66*$C86*'Financial impact (cash)'!F13)/60</f>
        <v>0</v>
      </c>
      <c r="G86" s="141">
        <f>($C66*$C86*'Financial impact (cash)'!G13)/60</f>
        <v>0</v>
      </c>
      <c r="H86" s="141">
        <f>($C66*$C86*'Financial impact (cash)'!H13)/60</f>
        <v>0</v>
      </c>
      <c r="I86" s="141">
        <f>($C66*$C86*'Financial impact (cash)'!I13)/60</f>
        <v>0</v>
      </c>
      <c r="J86" s="324"/>
      <c r="K86" s="329">
        <f>(D86*'Inputs and eligible population'!$I$74)/1000</f>
        <v>0</v>
      </c>
      <c r="L86" s="329">
        <f>(E86*'Inputs and eligible population'!$I$74)/1000</f>
        <v>0</v>
      </c>
      <c r="M86" s="329">
        <f>(F86*'Inputs and eligible population'!$I$74)/1000</f>
        <v>0</v>
      </c>
      <c r="N86" s="329">
        <f>(G86*'Inputs and eligible population'!$I$74)/1000</f>
        <v>0</v>
      </c>
      <c r="O86" s="329">
        <f>(H86*'Inputs and eligible population'!$I$74)/1000</f>
        <v>0</v>
      </c>
      <c r="P86" s="329">
        <f>(I86*'Inputs and eligible population'!$I$74)/1000</f>
        <v>0</v>
      </c>
      <c r="U86" s="146"/>
      <c r="AI86" s="323"/>
      <c r="AJ86" s="323"/>
      <c r="AK86" s="323"/>
      <c r="AL86" s="323"/>
      <c r="AM86" s="323"/>
    </row>
    <row r="87" spans="1:39">
      <c r="A87" s="324"/>
      <c r="B87" s="320"/>
      <c r="C87" s="320"/>
      <c r="D87" s="205">
        <f t="shared" ref="D87:I87" si="49">SUM(D86:D86)</f>
        <v>0</v>
      </c>
      <c r="E87" s="205">
        <f t="shared" si="49"/>
        <v>0</v>
      </c>
      <c r="F87" s="205">
        <f t="shared" si="49"/>
        <v>0</v>
      </c>
      <c r="G87" s="205">
        <f t="shared" si="49"/>
        <v>0</v>
      </c>
      <c r="H87" s="205">
        <f t="shared" si="49"/>
        <v>0</v>
      </c>
      <c r="I87" s="205">
        <f t="shared" si="49"/>
        <v>0</v>
      </c>
      <c r="J87" s="324"/>
      <c r="K87" s="330">
        <f t="shared" ref="K87:P87" si="50">SUM(K86:K86)</f>
        <v>0</v>
      </c>
      <c r="L87" s="330">
        <f t="shared" si="50"/>
        <v>0</v>
      </c>
      <c r="M87" s="330">
        <f t="shared" si="50"/>
        <v>0</v>
      </c>
      <c r="N87" s="330">
        <f t="shared" si="50"/>
        <v>0</v>
      </c>
      <c r="O87" s="330">
        <f t="shared" si="50"/>
        <v>0</v>
      </c>
      <c r="P87" s="330">
        <f t="shared" si="50"/>
        <v>0</v>
      </c>
      <c r="Q87" s="146"/>
      <c r="R87" s="146"/>
      <c r="S87" s="146"/>
      <c r="T87" s="146"/>
      <c r="U87" s="146"/>
      <c r="V87" s="146"/>
      <c r="W87" s="146"/>
      <c r="X87" s="146"/>
      <c r="Y87" s="146"/>
      <c r="AI87" s="323"/>
      <c r="AJ87" s="323"/>
      <c r="AK87" s="323"/>
      <c r="AL87" s="323"/>
      <c r="AM87" s="323"/>
    </row>
    <row r="88" spans="1:39">
      <c r="A88" s="324"/>
      <c r="B88" s="348"/>
      <c r="C88" s="320"/>
      <c r="D88" s="322" t="s">
        <v>867</v>
      </c>
      <c r="E88" s="205">
        <f>E87-$D$87</f>
        <v>0</v>
      </c>
      <c r="F88" s="205">
        <f>F87-$D$87</f>
        <v>0</v>
      </c>
      <c r="G88" s="205">
        <f>G87-$D$87</f>
        <v>0</v>
      </c>
      <c r="H88" s="205">
        <f>H87-$D$87</f>
        <v>0</v>
      </c>
      <c r="I88" s="205">
        <f>I87-$D$87</f>
        <v>0</v>
      </c>
      <c r="J88" s="324"/>
      <c r="K88" s="629"/>
      <c r="L88" s="330">
        <f>L87-$K$87</f>
        <v>0</v>
      </c>
      <c r="M88" s="330">
        <f t="shared" ref="M88:P88" si="51">M87-$K$87</f>
        <v>0</v>
      </c>
      <c r="N88" s="330">
        <f t="shared" si="51"/>
        <v>0</v>
      </c>
      <c r="O88" s="330">
        <f t="shared" si="51"/>
        <v>0</v>
      </c>
      <c r="P88" s="330">
        <f t="shared" si="51"/>
        <v>0</v>
      </c>
      <c r="Q88" s="146"/>
      <c r="R88" s="146"/>
      <c r="S88" s="146"/>
      <c r="T88" s="146"/>
      <c r="U88" s="146"/>
      <c r="V88" s="146"/>
      <c r="W88" s="146"/>
      <c r="X88" s="146"/>
      <c r="Y88" s="146"/>
      <c r="AI88" s="323"/>
      <c r="AJ88" s="323"/>
      <c r="AK88" s="323"/>
      <c r="AL88" s="323"/>
      <c r="AM88" s="323"/>
    </row>
    <row r="89" spans="1:39">
      <c r="A89" s="324"/>
      <c r="B89" s="370"/>
      <c r="C89" s="239"/>
      <c r="D89" s="239"/>
      <c r="E89" s="239"/>
      <c r="F89" s="239"/>
      <c r="G89" s="239"/>
      <c r="H89" s="239"/>
      <c r="I89" s="239"/>
      <c r="J89" s="324"/>
      <c r="K89" s="239"/>
      <c r="L89" s="239"/>
      <c r="M89" s="239"/>
      <c r="N89" s="239"/>
      <c r="O89" s="239"/>
      <c r="P89" s="239"/>
      <c r="Q89" s="146"/>
      <c r="R89" s="146"/>
      <c r="S89" s="146"/>
      <c r="T89" s="146"/>
      <c r="U89" s="146"/>
      <c r="V89" s="146"/>
      <c r="W89" s="146"/>
      <c r="X89" s="146"/>
      <c r="Y89" s="146"/>
      <c r="AI89" s="323"/>
      <c r="AJ89" s="323"/>
      <c r="AK89" s="323"/>
      <c r="AL89" s="323"/>
      <c r="AM89" s="323"/>
    </row>
    <row r="90" spans="1:39">
      <c r="A90" s="326"/>
      <c r="B90" s="373" t="s">
        <v>868</v>
      </c>
      <c r="C90" s="353"/>
      <c r="D90" s="352"/>
      <c r="E90" s="353"/>
      <c r="F90" s="354"/>
      <c r="G90" s="355"/>
      <c r="H90" s="355"/>
      <c r="I90" s="407"/>
      <c r="J90" s="326"/>
      <c r="K90" s="326"/>
      <c r="L90" s="326"/>
      <c r="M90" s="326"/>
      <c r="N90" s="326"/>
      <c r="O90" s="326"/>
      <c r="P90" s="326"/>
      <c r="Q90" s="146"/>
      <c r="R90" s="146"/>
      <c r="S90" s="146"/>
      <c r="T90" s="146"/>
      <c r="U90" s="146"/>
      <c r="V90" s="146"/>
      <c r="W90" s="146"/>
      <c r="X90" s="146"/>
      <c r="Y90" s="146"/>
      <c r="AI90" s="323"/>
      <c r="AJ90" s="323"/>
      <c r="AK90" s="323"/>
      <c r="AL90" s="323"/>
      <c r="AM90" s="323"/>
    </row>
    <row r="91" spans="1:39">
      <c r="A91" s="326"/>
      <c r="B91" s="436" t="s">
        <v>869</v>
      </c>
      <c r="C91" s="437"/>
      <c r="D91" s="437"/>
      <c r="E91" s="437"/>
      <c r="F91" s="437"/>
      <c r="G91" s="437"/>
      <c r="H91" s="437"/>
      <c r="I91" s="242"/>
      <c r="J91" s="326"/>
      <c r="K91" s="326"/>
      <c r="L91" s="326"/>
      <c r="M91" s="326"/>
      <c r="N91" s="326"/>
      <c r="O91" s="326"/>
      <c r="P91" s="326"/>
      <c r="Q91" s="146"/>
      <c r="R91" s="146"/>
      <c r="S91" s="146"/>
      <c r="T91" s="146"/>
      <c r="U91" s="146"/>
      <c r="V91" s="146"/>
      <c r="W91" s="146"/>
      <c r="X91" s="146"/>
      <c r="Y91" s="146"/>
      <c r="AI91" s="323"/>
      <c r="AJ91" s="323"/>
      <c r="AK91" s="323"/>
      <c r="AL91" s="323"/>
      <c r="AM91" s="323"/>
    </row>
    <row r="92" spans="1:39" ht="72.5">
      <c r="A92" s="326"/>
      <c r="B92" s="316" t="s">
        <v>160</v>
      </c>
      <c r="C92" s="182" t="s">
        <v>870</v>
      </c>
      <c r="D92" s="463" t="s">
        <v>841</v>
      </c>
      <c r="E92" s="292" t="s">
        <v>60</v>
      </c>
      <c r="F92" s="292" t="s">
        <v>61</v>
      </c>
      <c r="G92" s="181" t="s">
        <v>62</v>
      </c>
      <c r="H92" s="181" t="s">
        <v>843</v>
      </c>
      <c r="I92" s="292" t="s">
        <v>844</v>
      </c>
      <c r="J92" s="326"/>
      <c r="K92" s="326"/>
      <c r="L92" s="326"/>
      <c r="M92" s="326"/>
      <c r="N92" s="326"/>
      <c r="O92" s="326"/>
      <c r="P92" s="326"/>
      <c r="Q92" s="146"/>
      <c r="R92" s="146"/>
      <c r="S92" s="146"/>
      <c r="T92" s="146"/>
      <c r="U92" s="146"/>
      <c r="V92" s="146"/>
      <c r="W92" s="146"/>
      <c r="X92" s="146"/>
      <c r="Y92" s="146"/>
      <c r="AI92" s="323"/>
      <c r="AJ92" s="323"/>
      <c r="AK92" s="323"/>
      <c r="AL92" s="323"/>
      <c r="AM92" s="323"/>
    </row>
    <row r="93" spans="1:39">
      <c r="A93" s="326"/>
      <c r="B93" s="391" t="s">
        <v>1075</v>
      </c>
      <c r="C93" s="165">
        <f>'Inputs and eligible population'!F75</f>
        <v>0</v>
      </c>
      <c r="D93" s="141">
        <f>D$7*'Inputs and eligible population'!E60*'Inputs and eligible population'!$F50*'Capacity (local prices)'!$C93</f>
        <v>0</v>
      </c>
      <c r="E93" s="141">
        <f>E$7*'Inputs and eligible population'!F60*'Inputs and eligible population'!$F50*'Capacity (local prices)'!$C93</f>
        <v>0</v>
      </c>
      <c r="F93" s="141">
        <f>F$7*'Inputs and eligible population'!G60*'Inputs and eligible population'!$F50*'Capacity (local prices)'!$C93</f>
        <v>0</v>
      </c>
      <c r="G93" s="141">
        <f>G$7*'Inputs and eligible population'!H60*'Inputs and eligible population'!$F50*'Capacity (local prices)'!$C93</f>
        <v>0</v>
      </c>
      <c r="H93" s="141">
        <f>H$7*'Inputs and eligible population'!I60*'Inputs and eligible population'!$F50*'Capacity (local prices)'!$C93</f>
        <v>0</v>
      </c>
      <c r="I93" s="141">
        <f>I$7*'Inputs and eligible population'!J60*'Inputs and eligible population'!$F50*'Capacity (local prices)'!$C93</f>
        <v>0</v>
      </c>
      <c r="J93" s="326"/>
      <c r="K93" s="326"/>
      <c r="L93" s="326"/>
      <c r="M93" s="326"/>
      <c r="N93" s="326"/>
      <c r="O93" s="326"/>
      <c r="P93" s="326"/>
      <c r="Q93" s="146"/>
      <c r="R93" s="146"/>
      <c r="S93" s="146"/>
      <c r="T93" s="146"/>
      <c r="U93" s="146"/>
      <c r="V93" s="146"/>
      <c r="W93" s="146"/>
      <c r="X93" s="146"/>
      <c r="Y93" s="146"/>
      <c r="AI93" s="323"/>
      <c r="AJ93" s="323"/>
      <c r="AK93" s="323"/>
      <c r="AL93" s="323"/>
      <c r="AM93" s="323"/>
    </row>
    <row r="94" spans="1:39">
      <c r="A94" s="326"/>
      <c r="B94" s="320"/>
      <c r="C94" s="228"/>
      <c r="D94" s="205">
        <f t="shared" ref="D94:I94" si="52">SUM(D93:D93)</f>
        <v>0</v>
      </c>
      <c r="E94" s="205">
        <f t="shared" si="52"/>
        <v>0</v>
      </c>
      <c r="F94" s="205">
        <f t="shared" si="52"/>
        <v>0</v>
      </c>
      <c r="G94" s="205">
        <f t="shared" si="52"/>
        <v>0</v>
      </c>
      <c r="H94" s="205">
        <f t="shared" si="52"/>
        <v>0</v>
      </c>
      <c r="I94" s="205">
        <f t="shared" si="52"/>
        <v>0</v>
      </c>
      <c r="J94" s="326"/>
      <c r="K94" s="326"/>
      <c r="L94" s="326"/>
      <c r="M94" s="326"/>
      <c r="N94" s="326"/>
      <c r="O94" s="326"/>
      <c r="P94" s="326"/>
      <c r="Q94" s="146"/>
      <c r="R94" s="146"/>
      <c r="S94" s="146"/>
      <c r="T94" s="146"/>
      <c r="U94" s="146"/>
      <c r="V94" s="146"/>
      <c r="W94" s="146"/>
      <c r="X94" s="146"/>
      <c r="Y94" s="146"/>
      <c r="AI94" s="323"/>
      <c r="AJ94" s="323"/>
      <c r="AK94" s="323"/>
      <c r="AL94" s="323"/>
      <c r="AM94" s="323"/>
    </row>
    <row r="95" spans="1:39">
      <c r="A95" s="326"/>
      <c r="B95" s="348"/>
      <c r="C95" s="247"/>
      <c r="D95" s="322" t="s">
        <v>219</v>
      </c>
      <c r="E95" s="205">
        <f>E94-$D$94</f>
        <v>0</v>
      </c>
      <c r="F95" s="205">
        <f>F94-$D$94</f>
        <v>0</v>
      </c>
      <c r="G95" s="205">
        <f>G94-$D$94</f>
        <v>0</v>
      </c>
      <c r="H95" s="205">
        <f>H94-$D$94</f>
        <v>0</v>
      </c>
      <c r="I95" s="205">
        <f>I94-$D$94</f>
        <v>0</v>
      </c>
      <c r="J95" s="326"/>
      <c r="K95" s="326"/>
      <c r="L95" s="326"/>
      <c r="M95" s="326"/>
      <c r="N95" s="326"/>
      <c r="O95" s="326"/>
      <c r="P95" s="326"/>
      <c r="Q95" s="146"/>
      <c r="R95" s="146"/>
      <c r="S95" s="146"/>
      <c r="T95" s="146"/>
      <c r="U95" s="146"/>
      <c r="V95" s="146"/>
      <c r="W95" s="146"/>
      <c r="X95" s="146"/>
      <c r="Y95" s="146"/>
      <c r="AI95" s="323"/>
      <c r="AJ95" s="323"/>
      <c r="AK95" s="323"/>
      <c r="AL95" s="323"/>
      <c r="AM95" s="323"/>
    </row>
    <row r="96" spans="1:39">
      <c r="A96" s="326"/>
      <c r="B96" s="374"/>
      <c r="C96" s="437"/>
      <c r="D96" s="243"/>
      <c r="E96" s="243"/>
      <c r="F96" s="243"/>
      <c r="G96" s="243"/>
      <c r="H96" s="355"/>
      <c r="I96" s="355"/>
      <c r="J96" s="326"/>
      <c r="K96" s="326"/>
      <c r="L96" s="326"/>
      <c r="M96" s="326"/>
      <c r="N96" s="326"/>
      <c r="O96" s="326"/>
      <c r="P96" s="326"/>
      <c r="Q96" s="146"/>
      <c r="R96" s="146"/>
      <c r="S96" s="146"/>
      <c r="T96" s="146"/>
      <c r="U96" s="146"/>
      <c r="V96" s="146"/>
      <c r="W96" s="146"/>
      <c r="X96" s="146"/>
      <c r="Y96" s="146"/>
      <c r="AI96" s="323"/>
      <c r="AJ96" s="323"/>
      <c r="AK96" s="323"/>
      <c r="AL96" s="323"/>
      <c r="AM96" s="323"/>
    </row>
    <row r="97" spans="1:39">
      <c r="A97" s="326"/>
      <c r="B97" s="436" t="s">
        <v>871</v>
      </c>
      <c r="C97" s="437"/>
      <c r="D97" s="437"/>
      <c r="E97" s="437"/>
      <c r="F97" s="437"/>
      <c r="G97" s="437"/>
      <c r="H97" s="437"/>
      <c r="I97" s="242"/>
      <c r="J97" s="326"/>
      <c r="K97" s="326"/>
      <c r="L97" s="326"/>
      <c r="M97" s="326"/>
      <c r="N97" s="326"/>
      <c r="O97" s="326"/>
      <c r="P97" s="326"/>
      <c r="Q97" s="146"/>
      <c r="R97" s="146"/>
      <c r="S97" s="146"/>
      <c r="T97" s="146"/>
      <c r="U97" s="146"/>
      <c r="V97" s="146"/>
      <c r="W97" s="146"/>
      <c r="X97" s="146"/>
      <c r="Y97" s="146"/>
      <c r="AI97" s="323"/>
      <c r="AJ97" s="323"/>
      <c r="AK97" s="323"/>
      <c r="AL97" s="323"/>
      <c r="AM97" s="323"/>
    </row>
    <row r="98" spans="1:39" ht="72.5">
      <c r="A98" s="326"/>
      <c r="B98" s="316" t="s">
        <v>160</v>
      </c>
      <c r="C98" s="182" t="s">
        <v>872</v>
      </c>
      <c r="D98" s="463" t="s">
        <v>841</v>
      </c>
      <c r="E98" s="292" t="s">
        <v>60</v>
      </c>
      <c r="F98" s="292" t="s">
        <v>61</v>
      </c>
      <c r="G98" s="181" t="s">
        <v>62</v>
      </c>
      <c r="H98" s="181" t="s">
        <v>843</v>
      </c>
      <c r="I98" s="292" t="s">
        <v>844</v>
      </c>
      <c r="J98" s="326"/>
      <c r="K98" s="326"/>
      <c r="L98" s="326"/>
      <c r="M98" s="326"/>
      <c r="N98" s="326"/>
      <c r="O98" s="326"/>
      <c r="P98" s="326"/>
      <c r="Q98" s="146"/>
      <c r="R98" s="146"/>
      <c r="S98" s="146"/>
      <c r="T98" s="146"/>
      <c r="U98" s="146"/>
      <c r="V98" s="146"/>
      <c r="W98" s="146"/>
      <c r="X98" s="146"/>
      <c r="Y98" s="146"/>
      <c r="AI98" s="323"/>
      <c r="AJ98" s="323"/>
      <c r="AK98" s="323"/>
      <c r="AL98" s="323"/>
      <c r="AM98" s="323"/>
    </row>
    <row r="99" spans="1:39">
      <c r="A99" s="326"/>
      <c r="B99" s="391" t="s">
        <v>1075</v>
      </c>
      <c r="C99" s="165">
        <f>'Inputs and eligible population'!F76</f>
        <v>0</v>
      </c>
      <c r="D99" s="141">
        <f>D$7*'Inputs and eligible population'!E60*'Inputs and eligible population'!$F50*'Capacity (local prices)'!$C99</f>
        <v>0</v>
      </c>
      <c r="E99" s="141">
        <f>E$7*'Inputs and eligible population'!F60*'Inputs and eligible population'!$F50*'Capacity (local prices)'!$C99</f>
        <v>0</v>
      </c>
      <c r="F99" s="141">
        <f>F$7*'Inputs and eligible population'!G60*'Inputs and eligible population'!$F50*'Capacity (local prices)'!$C99</f>
        <v>0</v>
      </c>
      <c r="G99" s="141">
        <f>G$7*'Inputs and eligible population'!H60*'Inputs and eligible population'!$F50*'Capacity (local prices)'!$C99</f>
        <v>0</v>
      </c>
      <c r="H99" s="141">
        <f>H$7*'Inputs and eligible population'!I60*'Inputs and eligible population'!$F50*'Capacity (local prices)'!$C99</f>
        <v>0</v>
      </c>
      <c r="I99" s="141">
        <f>I$7*'Inputs and eligible population'!J60*'Inputs and eligible population'!$F50*'Capacity (local prices)'!$C99</f>
        <v>0</v>
      </c>
      <c r="J99" s="326"/>
      <c r="K99" s="243"/>
      <c r="L99" s="243"/>
      <c r="M99" s="326"/>
      <c r="N99" s="243"/>
      <c r="O99" s="243"/>
      <c r="P99" s="243"/>
      <c r="Q99" s="146"/>
      <c r="R99" s="146"/>
      <c r="S99" s="146"/>
      <c r="T99" s="146"/>
      <c r="U99" s="146"/>
      <c r="V99" s="146"/>
      <c r="W99" s="146"/>
      <c r="X99" s="146"/>
      <c r="Y99" s="146"/>
      <c r="AI99" s="323"/>
      <c r="AJ99" s="323"/>
      <c r="AK99" s="323"/>
      <c r="AL99" s="323"/>
      <c r="AM99" s="323"/>
    </row>
    <row r="100" spans="1:39">
      <c r="A100" s="326"/>
      <c r="B100" s="320"/>
      <c r="C100" s="228"/>
      <c r="D100" s="205">
        <f t="shared" ref="D100:I100" si="53">SUM(D99:D99)</f>
        <v>0</v>
      </c>
      <c r="E100" s="205">
        <f t="shared" si="53"/>
        <v>0</v>
      </c>
      <c r="F100" s="205">
        <f t="shared" si="53"/>
        <v>0</v>
      </c>
      <c r="G100" s="205">
        <f t="shared" si="53"/>
        <v>0</v>
      </c>
      <c r="H100" s="205">
        <f t="shared" si="53"/>
        <v>0</v>
      </c>
      <c r="I100" s="205">
        <f t="shared" si="53"/>
        <v>0</v>
      </c>
      <c r="J100" s="326"/>
      <c r="K100" s="243"/>
      <c r="L100" s="243"/>
      <c r="M100" s="326"/>
      <c r="N100" s="243"/>
      <c r="O100" s="243"/>
      <c r="P100" s="243"/>
      <c r="U100" s="146"/>
    </row>
    <row r="101" spans="1:39">
      <c r="A101" s="326"/>
      <c r="B101" s="348"/>
      <c r="C101" s="247"/>
      <c r="D101" s="322" t="s">
        <v>220</v>
      </c>
      <c r="E101" s="205">
        <f>E100-$D$100</f>
        <v>0</v>
      </c>
      <c r="F101" s="205">
        <f>F100-$D$100</f>
        <v>0</v>
      </c>
      <c r="G101" s="205">
        <f>G100-$D$100</f>
        <v>0</v>
      </c>
      <c r="H101" s="205">
        <f>H100-$D$100</f>
        <v>0</v>
      </c>
      <c r="I101" s="205">
        <f>I100-$D$100</f>
        <v>0</v>
      </c>
      <c r="J101" s="326"/>
      <c r="K101" s="243"/>
      <c r="L101" s="243"/>
      <c r="M101" s="326"/>
      <c r="N101" s="243"/>
      <c r="O101" s="243"/>
      <c r="P101" s="243"/>
      <c r="U101" s="146"/>
    </row>
    <row r="102" spans="1:39">
      <c r="A102" s="326"/>
      <c r="B102" s="374"/>
      <c r="C102" s="437"/>
      <c r="D102" s="243"/>
      <c r="E102" s="243"/>
      <c r="F102" s="243"/>
      <c r="G102" s="243"/>
      <c r="H102" s="355"/>
      <c r="I102" s="355"/>
      <c r="J102" s="326"/>
      <c r="K102" s="243"/>
      <c r="L102" s="243"/>
      <c r="M102" s="326"/>
      <c r="N102" s="243"/>
      <c r="O102" s="243"/>
      <c r="P102" s="243"/>
      <c r="U102" s="146"/>
    </row>
    <row r="103" spans="1:39">
      <c r="A103" s="326"/>
      <c r="B103" s="436" t="s">
        <v>873</v>
      </c>
      <c r="C103" s="437"/>
      <c r="D103" s="437"/>
      <c r="E103" s="437"/>
      <c r="F103" s="437"/>
      <c r="G103" s="437"/>
      <c r="H103" s="437"/>
      <c r="I103" s="242"/>
      <c r="J103" s="326"/>
      <c r="K103" s="326"/>
      <c r="L103" s="326"/>
      <c r="M103" s="326"/>
      <c r="N103" s="326"/>
      <c r="O103" s="326"/>
      <c r="P103" s="326"/>
      <c r="U103" s="146"/>
    </row>
    <row r="104" spans="1:39" ht="72.5">
      <c r="A104" s="326"/>
      <c r="B104" s="316" t="s">
        <v>160</v>
      </c>
      <c r="C104" s="182" t="s">
        <v>874</v>
      </c>
      <c r="D104" s="463" t="s">
        <v>841</v>
      </c>
      <c r="E104" s="292" t="s">
        <v>60</v>
      </c>
      <c r="F104" s="292" t="s">
        <v>61</v>
      </c>
      <c r="G104" s="181" t="s">
        <v>62</v>
      </c>
      <c r="H104" s="181" t="s">
        <v>843</v>
      </c>
      <c r="I104" s="292" t="s">
        <v>844</v>
      </c>
      <c r="J104" s="326"/>
      <c r="K104" s="463" t="s">
        <v>841</v>
      </c>
      <c r="L104" s="292" t="s">
        <v>60</v>
      </c>
      <c r="M104" s="292" t="s">
        <v>61</v>
      </c>
      <c r="N104" s="181" t="s">
        <v>842</v>
      </c>
      <c r="O104" s="181" t="s">
        <v>843</v>
      </c>
      <c r="P104" s="292" t="s">
        <v>844</v>
      </c>
      <c r="U104" s="146"/>
    </row>
    <row r="105" spans="1:39">
      <c r="A105" s="326"/>
      <c r="B105" s="391" t="s">
        <v>1075</v>
      </c>
      <c r="C105" s="165">
        <f>'Inputs and eligible population'!F77</f>
        <v>0</v>
      </c>
      <c r="D105" s="141">
        <f>(D$7*'Inputs and eligible population'!E60*'Inputs and eligible population'!$F50*'Capacity (local prices)'!$C105)/60</f>
        <v>0</v>
      </c>
      <c r="E105" s="141">
        <f>(E$7*'Inputs and eligible population'!F60*'Inputs and eligible population'!$F50*'Capacity (local prices)'!$C105)/60</f>
        <v>0</v>
      </c>
      <c r="F105" s="141">
        <f>(F$7*'Inputs and eligible population'!G60*'Inputs and eligible population'!$F50*'Capacity (local prices)'!$C105)/60</f>
        <v>0</v>
      </c>
      <c r="G105" s="141">
        <f>(G$7*'Inputs and eligible population'!H60*'Inputs and eligible population'!$F50*'Capacity (local prices)'!$C105)/60</f>
        <v>0</v>
      </c>
      <c r="H105" s="141">
        <f>(H$7*'Inputs and eligible population'!I60*'Inputs and eligible population'!$F50*'Capacity (local prices)'!$C105)/60</f>
        <v>0</v>
      </c>
      <c r="I105" s="141">
        <f>(I$7*'Inputs and eligible population'!J60*'Inputs and eligible population'!$F50*'Capacity (local prices)'!$C105)/60</f>
        <v>0</v>
      </c>
      <c r="J105" s="326"/>
      <c r="K105" s="329">
        <f>(D105*'Inputs and eligible population'!$I$77)/1000</f>
        <v>0</v>
      </c>
      <c r="L105" s="329">
        <f>(E105*'Inputs and eligible population'!$I$77)/1000</f>
        <v>0</v>
      </c>
      <c r="M105" s="329">
        <f>(F105*'Inputs and eligible population'!$I$77)/1000</f>
        <v>0</v>
      </c>
      <c r="N105" s="329">
        <f>(G105*'Inputs and eligible population'!$I$77)/1000</f>
        <v>0</v>
      </c>
      <c r="O105" s="329">
        <f>(H105*'Inputs and eligible population'!$I$77)/1000</f>
        <v>0</v>
      </c>
      <c r="P105" s="329">
        <f>(I105*'Inputs and eligible population'!$I$77)/1000</f>
        <v>0</v>
      </c>
      <c r="U105" s="146"/>
    </row>
    <row r="106" spans="1:39">
      <c r="A106" s="326"/>
      <c r="B106" s="320"/>
      <c r="C106" s="228"/>
      <c r="D106" s="205">
        <f t="shared" ref="D106:I106" si="54">SUM(D105:D105)</f>
        <v>0</v>
      </c>
      <c r="E106" s="205">
        <f t="shared" si="54"/>
        <v>0</v>
      </c>
      <c r="F106" s="205">
        <f t="shared" si="54"/>
        <v>0</v>
      </c>
      <c r="G106" s="205">
        <f t="shared" si="54"/>
        <v>0</v>
      </c>
      <c r="H106" s="205">
        <f t="shared" si="54"/>
        <v>0</v>
      </c>
      <c r="I106" s="205">
        <f t="shared" si="54"/>
        <v>0</v>
      </c>
      <c r="J106" s="326"/>
      <c r="K106" s="330">
        <f t="shared" ref="K106:P106" si="55">SUM(K105:K105)</f>
        <v>0</v>
      </c>
      <c r="L106" s="330">
        <f t="shared" si="55"/>
        <v>0</v>
      </c>
      <c r="M106" s="330">
        <f t="shared" si="55"/>
        <v>0</v>
      </c>
      <c r="N106" s="330">
        <f t="shared" si="55"/>
        <v>0</v>
      </c>
      <c r="O106" s="330">
        <f t="shared" si="55"/>
        <v>0</v>
      </c>
      <c r="P106" s="330">
        <f t="shared" si="55"/>
        <v>0</v>
      </c>
      <c r="U106" s="146"/>
    </row>
    <row r="107" spans="1:39">
      <c r="A107" s="326"/>
      <c r="B107" s="348"/>
      <c r="C107" s="247"/>
      <c r="D107" s="322" t="s">
        <v>221</v>
      </c>
      <c r="E107" s="205">
        <f>E106-$D$106</f>
        <v>0</v>
      </c>
      <c r="F107" s="205">
        <f>F106-$D$106</f>
        <v>0</v>
      </c>
      <c r="G107" s="205">
        <f>G106-$D$106</f>
        <v>0</v>
      </c>
      <c r="H107" s="205">
        <f>H106-$D$106</f>
        <v>0</v>
      </c>
      <c r="I107" s="205">
        <f>I106-$D$106</f>
        <v>0</v>
      </c>
      <c r="J107" s="326"/>
      <c r="K107" s="630"/>
      <c r="L107" s="330">
        <f>L106-$K$106</f>
        <v>0</v>
      </c>
      <c r="M107" s="330">
        <f t="shared" ref="M107:P107" si="56">M106-$K$106</f>
        <v>0</v>
      </c>
      <c r="N107" s="330">
        <f t="shared" si="56"/>
        <v>0</v>
      </c>
      <c r="O107" s="330">
        <f t="shared" si="56"/>
        <v>0</v>
      </c>
      <c r="P107" s="330">
        <f t="shared" si="56"/>
        <v>0</v>
      </c>
      <c r="U107" s="146"/>
    </row>
    <row r="108" spans="1:39">
      <c r="A108" s="326"/>
      <c r="B108" s="374"/>
      <c r="C108" s="437"/>
      <c r="D108" s="243"/>
      <c r="E108" s="243"/>
      <c r="F108" s="243"/>
      <c r="G108" s="243"/>
      <c r="H108" s="355"/>
      <c r="I108" s="355"/>
      <c r="J108" s="326"/>
      <c r="K108" s="243"/>
      <c r="L108" s="243"/>
      <c r="M108" s="326"/>
      <c r="N108" s="243"/>
      <c r="O108" s="243"/>
      <c r="P108" s="243"/>
      <c r="U108" s="146"/>
    </row>
    <row r="109" spans="1:39">
      <c r="A109" s="326"/>
      <c r="B109" s="436" t="s">
        <v>875</v>
      </c>
      <c r="C109" s="437"/>
      <c r="D109" s="437"/>
      <c r="E109" s="437"/>
      <c r="F109" s="437"/>
      <c r="G109" s="437"/>
      <c r="H109" s="437"/>
      <c r="I109" s="242"/>
      <c r="J109" s="326"/>
      <c r="K109" s="326"/>
      <c r="L109" s="326"/>
      <c r="M109" s="326"/>
      <c r="N109" s="326"/>
      <c r="O109" s="326"/>
      <c r="P109" s="326"/>
      <c r="U109" s="146"/>
    </row>
    <row r="110" spans="1:39" ht="72.5">
      <c r="A110" s="326"/>
      <c r="B110" s="316" t="s">
        <v>160</v>
      </c>
      <c r="C110" s="182" t="s">
        <v>876</v>
      </c>
      <c r="D110" s="463" t="s">
        <v>841</v>
      </c>
      <c r="E110" s="292" t="s">
        <v>60</v>
      </c>
      <c r="F110" s="292" t="s">
        <v>61</v>
      </c>
      <c r="G110" s="181" t="s">
        <v>62</v>
      </c>
      <c r="H110" s="181" t="s">
        <v>843</v>
      </c>
      <c r="I110" s="292" t="s">
        <v>844</v>
      </c>
      <c r="J110" s="326"/>
      <c r="K110" s="463" t="s">
        <v>841</v>
      </c>
      <c r="L110" s="292" t="s">
        <v>60</v>
      </c>
      <c r="M110" s="292" t="s">
        <v>61</v>
      </c>
      <c r="N110" s="181" t="s">
        <v>842</v>
      </c>
      <c r="O110" s="181" t="s">
        <v>843</v>
      </c>
      <c r="P110" s="292" t="s">
        <v>844</v>
      </c>
      <c r="U110" s="146"/>
    </row>
    <row r="111" spans="1:39">
      <c r="A111" s="326"/>
      <c r="B111" s="391" t="s">
        <v>1075</v>
      </c>
      <c r="C111" s="165">
        <f>'Inputs and eligible population'!F78</f>
        <v>0</v>
      </c>
      <c r="D111" s="141">
        <f>(D$7*'Inputs and eligible population'!E60*'Inputs and eligible population'!$F50*'Capacity (local prices)'!$C111)/60</f>
        <v>0</v>
      </c>
      <c r="E111" s="141">
        <f>(E$7*'Inputs and eligible population'!F60*'Inputs and eligible population'!$F50*'Capacity (local prices)'!$C111)/60</f>
        <v>0</v>
      </c>
      <c r="F111" s="141">
        <f>(F$7*'Inputs and eligible population'!G60*'Inputs and eligible population'!$F50*'Capacity (local prices)'!$C111)/60</f>
        <v>0</v>
      </c>
      <c r="G111" s="141">
        <f>(G$7*'Inputs and eligible population'!H60*'Inputs and eligible population'!$F50*'Capacity (local prices)'!$C111)/60</f>
        <v>0</v>
      </c>
      <c r="H111" s="141">
        <f>(H$7*'Inputs and eligible population'!I60*'Inputs and eligible population'!$F50*'Capacity (local prices)'!$C111)/60</f>
        <v>0</v>
      </c>
      <c r="I111" s="141">
        <f>(I$7*'Inputs and eligible population'!J60*'Inputs and eligible population'!$F50*'Capacity (local prices)'!$C111)/60</f>
        <v>0</v>
      </c>
      <c r="J111" s="326"/>
      <c r="K111" s="329">
        <f>(D111*'Inputs and eligible population'!$I$78)/1000</f>
        <v>0</v>
      </c>
      <c r="L111" s="329">
        <f>(E111*'Inputs and eligible population'!$I$78)/1000</f>
        <v>0</v>
      </c>
      <c r="M111" s="329">
        <f>(F111*'Inputs and eligible population'!$I$78)/1000</f>
        <v>0</v>
      </c>
      <c r="N111" s="329">
        <f>(G111*'Inputs and eligible population'!$I$78)/1000</f>
        <v>0</v>
      </c>
      <c r="O111" s="329">
        <f>(H111*'Inputs and eligible population'!$I$78)/1000</f>
        <v>0</v>
      </c>
      <c r="P111" s="329">
        <f>(I111*'Inputs and eligible population'!$I$78)/1000</f>
        <v>0</v>
      </c>
      <c r="U111" s="146"/>
    </row>
    <row r="112" spans="1:39">
      <c r="A112" s="326"/>
      <c r="B112" s="320"/>
      <c r="C112" s="228"/>
      <c r="D112" s="205">
        <f t="shared" ref="D112:I112" si="57">SUM(D111:D111)</f>
        <v>0</v>
      </c>
      <c r="E112" s="205">
        <f t="shared" si="57"/>
        <v>0</v>
      </c>
      <c r="F112" s="205">
        <f t="shared" si="57"/>
        <v>0</v>
      </c>
      <c r="G112" s="205">
        <f t="shared" si="57"/>
        <v>0</v>
      </c>
      <c r="H112" s="205">
        <f t="shared" si="57"/>
        <v>0</v>
      </c>
      <c r="I112" s="205">
        <f t="shared" si="57"/>
        <v>0</v>
      </c>
      <c r="J112" s="326"/>
      <c r="K112" s="330">
        <f t="shared" ref="K112:P112" si="58">SUM(K111:K111)</f>
        <v>0</v>
      </c>
      <c r="L112" s="330">
        <f t="shared" si="58"/>
        <v>0</v>
      </c>
      <c r="M112" s="330">
        <f t="shared" si="58"/>
        <v>0</v>
      </c>
      <c r="N112" s="330">
        <f t="shared" si="58"/>
        <v>0</v>
      </c>
      <c r="O112" s="330">
        <f t="shared" si="58"/>
        <v>0</v>
      </c>
      <c r="P112" s="330">
        <f t="shared" si="58"/>
        <v>0</v>
      </c>
      <c r="U112" s="146"/>
    </row>
    <row r="113" spans="1:39">
      <c r="A113" s="326"/>
      <c r="B113" s="348"/>
      <c r="C113" s="247"/>
      <c r="D113" s="322" t="s">
        <v>222</v>
      </c>
      <c r="E113" s="205">
        <f>E112-$D$112</f>
        <v>0</v>
      </c>
      <c r="F113" s="205">
        <f>F112-$D$112</f>
        <v>0</v>
      </c>
      <c r="G113" s="205">
        <f>G112-$D$112</f>
        <v>0</v>
      </c>
      <c r="H113" s="205">
        <f>H112-$D$112</f>
        <v>0</v>
      </c>
      <c r="I113" s="205">
        <f>I112-$D$112</f>
        <v>0</v>
      </c>
      <c r="J113" s="326"/>
      <c r="K113" s="630"/>
      <c r="L113" s="330">
        <f>L112-$K$112</f>
        <v>0</v>
      </c>
      <c r="M113" s="330">
        <f t="shared" ref="M113:P113" si="59">M112-$K$112</f>
        <v>0</v>
      </c>
      <c r="N113" s="330">
        <f t="shared" si="59"/>
        <v>0</v>
      </c>
      <c r="O113" s="330">
        <f t="shared" si="59"/>
        <v>0</v>
      </c>
      <c r="P113" s="330">
        <f t="shared" si="59"/>
        <v>0</v>
      </c>
      <c r="U113" s="146"/>
    </row>
    <row r="114" spans="1:39">
      <c r="A114" s="326"/>
      <c r="B114" s="374"/>
      <c r="C114" s="437"/>
      <c r="D114" s="243"/>
      <c r="E114" s="243"/>
      <c r="F114" s="243"/>
      <c r="G114" s="243"/>
      <c r="H114" s="355"/>
      <c r="I114" s="355"/>
      <c r="J114" s="326"/>
      <c r="K114" s="243"/>
      <c r="L114" s="243"/>
      <c r="M114" s="326"/>
      <c r="N114" s="243"/>
      <c r="O114" s="243"/>
      <c r="P114" s="243"/>
      <c r="U114" s="146"/>
    </row>
    <row r="115" spans="1:39">
      <c r="A115" s="326"/>
      <c r="B115" s="436" t="s">
        <v>877</v>
      </c>
      <c r="C115" s="437"/>
      <c r="D115" s="437"/>
      <c r="E115" s="437"/>
      <c r="F115" s="437"/>
      <c r="G115" s="437"/>
      <c r="H115" s="437"/>
      <c r="I115" s="242"/>
      <c r="J115" s="326"/>
      <c r="K115" s="326"/>
      <c r="L115" s="326"/>
      <c r="M115" s="326"/>
      <c r="N115" s="326"/>
      <c r="O115" s="326"/>
      <c r="P115" s="326"/>
      <c r="U115" s="146"/>
    </row>
    <row r="116" spans="1:39" ht="43.5">
      <c r="A116" s="326"/>
      <c r="B116" s="316" t="s">
        <v>160</v>
      </c>
      <c r="C116" s="182" t="s">
        <v>111</v>
      </c>
      <c r="D116" s="463" t="s">
        <v>841</v>
      </c>
      <c r="E116" s="292" t="s">
        <v>60</v>
      </c>
      <c r="F116" s="292" t="s">
        <v>61</v>
      </c>
      <c r="G116" s="181" t="s">
        <v>62</v>
      </c>
      <c r="H116" s="181" t="s">
        <v>843</v>
      </c>
      <c r="I116" s="292" t="s">
        <v>844</v>
      </c>
      <c r="J116" s="326"/>
      <c r="K116" s="463" t="s">
        <v>841</v>
      </c>
      <c r="L116" s="292" t="s">
        <v>60</v>
      </c>
      <c r="M116" s="292" t="s">
        <v>61</v>
      </c>
      <c r="N116" s="181" t="s">
        <v>842</v>
      </c>
      <c r="O116" s="181" t="s">
        <v>843</v>
      </c>
      <c r="P116" s="292" t="s">
        <v>844</v>
      </c>
      <c r="U116" s="146"/>
    </row>
    <row r="117" spans="1:39">
      <c r="A117" s="326"/>
      <c r="B117" s="391" t="s">
        <v>1075</v>
      </c>
      <c r="C117" s="165">
        <f>'Inputs and eligible population'!F79</f>
        <v>5</v>
      </c>
      <c r="D117" s="141">
        <f>($C117*'Financial impact (cash)'!D13*'Inputs and eligible population'!$F50)/60</f>
        <v>0</v>
      </c>
      <c r="E117" s="141">
        <f>($C117*'Financial impact (cash)'!E13*'Inputs and eligible population'!$F50)/60</f>
        <v>114.19751076213819</v>
      </c>
      <c r="F117" s="141">
        <f>($C117*'Financial impact (cash)'!F13*'Inputs and eligible population'!$F50)/60</f>
        <v>145.8070004428692</v>
      </c>
      <c r="G117" s="141">
        <f>($C117*'Financial impact (cash)'!G13*'Inputs and eligible population'!$F50)/60</f>
        <v>146.97307209880262</v>
      </c>
      <c r="H117" s="141">
        <f>($C117*'Financial impact (cash)'!H13*'Inputs and eligible population'!$F50)/60</f>
        <v>148.14846925421568</v>
      </c>
      <c r="I117" s="141">
        <f>($C117*'Financial impact (cash)'!I13*'Inputs and eligible population'!$F50)/60</f>
        <v>149.33326648852233</v>
      </c>
      <c r="J117" s="326"/>
      <c r="K117" s="329">
        <f>(D117*'Inputs and eligible population'!$I$79)/1000</f>
        <v>0</v>
      </c>
      <c r="L117" s="329">
        <f>(E117*'Inputs and eligible population'!$I$79)/1000</f>
        <v>4.9424682657853412</v>
      </c>
      <c r="M117" s="329">
        <f>(F117*'Inputs and eligible population'!$I$79)/1000</f>
        <v>6.3105269791673795</v>
      </c>
      <c r="N117" s="329">
        <f>(G117*'Inputs and eligible population'!$I$79)/1000</f>
        <v>6.3609945604361773</v>
      </c>
      <c r="O117" s="329">
        <f>(H117*'Inputs and eligible population'!$I$79)/1000</f>
        <v>6.4118657493224545</v>
      </c>
      <c r="P117" s="329">
        <f>(I117*'Inputs and eligible population'!$I$79)/1000</f>
        <v>6.4631437736232469</v>
      </c>
      <c r="U117" s="146"/>
    </row>
    <row r="118" spans="1:39">
      <c r="A118" s="326"/>
      <c r="B118" s="320"/>
      <c r="C118" s="228"/>
      <c r="D118" s="205">
        <f t="shared" ref="D118:I118" si="60">SUM(D117:D117)</f>
        <v>0</v>
      </c>
      <c r="E118" s="205">
        <f t="shared" si="60"/>
        <v>114.19751076213819</v>
      </c>
      <c r="F118" s="205">
        <f t="shared" si="60"/>
        <v>145.8070004428692</v>
      </c>
      <c r="G118" s="205">
        <f t="shared" si="60"/>
        <v>146.97307209880262</v>
      </c>
      <c r="H118" s="205">
        <f t="shared" si="60"/>
        <v>148.14846925421568</v>
      </c>
      <c r="I118" s="205">
        <f t="shared" si="60"/>
        <v>149.33326648852233</v>
      </c>
      <c r="J118" s="326"/>
      <c r="K118" s="330">
        <f t="shared" ref="K118:P118" si="61">SUM(K117:K117)</f>
        <v>0</v>
      </c>
      <c r="L118" s="330">
        <f t="shared" si="61"/>
        <v>4.9424682657853412</v>
      </c>
      <c r="M118" s="330">
        <f t="shared" si="61"/>
        <v>6.3105269791673795</v>
      </c>
      <c r="N118" s="330">
        <f t="shared" si="61"/>
        <v>6.3609945604361773</v>
      </c>
      <c r="O118" s="330">
        <f t="shared" si="61"/>
        <v>6.4118657493224545</v>
      </c>
      <c r="P118" s="330">
        <f t="shared" si="61"/>
        <v>6.4631437736232469</v>
      </c>
      <c r="U118" s="146"/>
    </row>
    <row r="119" spans="1:39">
      <c r="A119" s="326"/>
      <c r="B119" s="348"/>
      <c r="C119" s="247"/>
      <c r="D119" s="322" t="s">
        <v>223</v>
      </c>
      <c r="E119" s="205">
        <f>E118-$D$118</f>
        <v>114.19751076213819</v>
      </c>
      <c r="F119" s="205">
        <f>F118-$D$118</f>
        <v>145.8070004428692</v>
      </c>
      <c r="G119" s="205">
        <f>G118-$D$118</f>
        <v>146.97307209880262</v>
      </c>
      <c r="H119" s="205">
        <f>H118-$D$118</f>
        <v>148.14846925421568</v>
      </c>
      <c r="I119" s="205">
        <f>I118-$D$118</f>
        <v>149.33326648852233</v>
      </c>
      <c r="J119" s="326"/>
      <c r="K119" s="630"/>
      <c r="L119" s="330">
        <f>L118-$K$118</f>
        <v>4.9424682657853412</v>
      </c>
      <c r="M119" s="330">
        <f t="shared" ref="M119:P119" si="62">M118-$K$118</f>
        <v>6.3105269791673795</v>
      </c>
      <c r="N119" s="330">
        <f t="shared" si="62"/>
        <v>6.3609945604361773</v>
      </c>
      <c r="O119" s="330">
        <f t="shared" si="62"/>
        <v>6.4118657493224545</v>
      </c>
      <c r="P119" s="330">
        <f t="shared" si="62"/>
        <v>6.4631437736232469</v>
      </c>
      <c r="U119" s="146"/>
    </row>
    <row r="120" spans="1:39">
      <c r="A120" s="326"/>
      <c r="B120" s="374"/>
      <c r="C120" s="437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146"/>
      <c r="R120" s="146"/>
      <c r="S120" s="146"/>
      <c r="T120" s="146"/>
      <c r="U120" s="146"/>
      <c r="V120" s="146"/>
      <c r="W120" s="146"/>
      <c r="X120" s="146"/>
      <c r="Y120" s="146"/>
      <c r="AI120" s="323"/>
      <c r="AJ120" s="323"/>
      <c r="AK120" s="323"/>
      <c r="AL120" s="323"/>
      <c r="AM120" s="323"/>
    </row>
    <row r="121" spans="1:39">
      <c r="A121" s="325"/>
      <c r="B121" s="371" t="s">
        <v>878</v>
      </c>
      <c r="C121" s="349"/>
      <c r="D121" s="349"/>
      <c r="E121" s="350"/>
      <c r="F121" s="351"/>
      <c r="G121" s="351"/>
      <c r="H121" s="351"/>
      <c r="I121" s="430"/>
      <c r="J121" s="325"/>
      <c r="K121" s="325"/>
      <c r="L121" s="325"/>
      <c r="M121" s="325"/>
      <c r="N121" s="325"/>
      <c r="O121" s="325"/>
      <c r="P121" s="241"/>
      <c r="Q121" s="146"/>
      <c r="R121" s="146"/>
      <c r="S121" s="146"/>
      <c r="T121" s="146"/>
      <c r="U121" s="146"/>
      <c r="V121" s="146"/>
      <c r="W121" s="146"/>
      <c r="X121" s="146"/>
      <c r="Y121" s="146"/>
      <c r="AI121" s="323"/>
      <c r="AJ121" s="323"/>
      <c r="AK121" s="323"/>
      <c r="AL121" s="323"/>
      <c r="AM121" s="323"/>
    </row>
    <row r="122" spans="1:39">
      <c r="A122" s="325"/>
      <c r="B122" s="438" t="s">
        <v>114</v>
      </c>
      <c r="C122" s="439"/>
      <c r="D122" s="439"/>
      <c r="E122" s="439"/>
      <c r="F122" s="439"/>
      <c r="G122" s="439"/>
      <c r="H122" s="439"/>
      <c r="I122" s="240"/>
      <c r="J122" s="241"/>
      <c r="K122" s="476"/>
      <c r="L122" s="476"/>
      <c r="M122" s="476"/>
      <c r="N122" s="476"/>
      <c r="O122" s="476"/>
      <c r="P122" s="476"/>
      <c r="Q122" s="146"/>
      <c r="R122" s="146"/>
      <c r="S122" s="146"/>
      <c r="T122" s="146"/>
      <c r="U122" s="146"/>
      <c r="V122" s="146"/>
      <c r="W122" s="146"/>
      <c r="X122" s="146"/>
      <c r="Y122" s="146"/>
      <c r="AI122" s="323"/>
      <c r="AJ122" s="323"/>
      <c r="AK122" s="323"/>
      <c r="AL122" s="323"/>
      <c r="AM122" s="323"/>
    </row>
    <row r="123" spans="1:39" ht="43.5">
      <c r="A123" s="325"/>
      <c r="B123" s="316" t="s">
        <v>160</v>
      </c>
      <c r="C123" s="182" t="s">
        <v>114</v>
      </c>
      <c r="D123" s="463" t="s">
        <v>841</v>
      </c>
      <c r="E123" s="292" t="s">
        <v>60</v>
      </c>
      <c r="F123" s="292" t="s">
        <v>61</v>
      </c>
      <c r="G123" s="181" t="s">
        <v>62</v>
      </c>
      <c r="H123" s="181" t="s">
        <v>843</v>
      </c>
      <c r="I123" s="292" t="s">
        <v>844</v>
      </c>
      <c r="J123" s="325"/>
      <c r="K123" s="463" t="s">
        <v>841</v>
      </c>
      <c r="L123" s="292" t="s">
        <v>60</v>
      </c>
      <c r="M123" s="292" t="s">
        <v>61</v>
      </c>
      <c r="N123" s="181" t="s">
        <v>842</v>
      </c>
      <c r="O123" s="181" t="s">
        <v>843</v>
      </c>
      <c r="P123" s="292" t="s">
        <v>844</v>
      </c>
      <c r="Q123" s="146"/>
      <c r="R123" s="146"/>
      <c r="S123" s="146"/>
      <c r="T123" s="146"/>
      <c r="U123" s="146"/>
      <c r="V123" s="146"/>
      <c r="W123" s="146"/>
      <c r="X123" s="146"/>
      <c r="Y123" s="146"/>
      <c r="AI123" s="323"/>
      <c r="AJ123" s="323"/>
      <c r="AK123" s="323"/>
      <c r="AL123" s="323"/>
      <c r="AM123" s="323"/>
    </row>
    <row r="124" spans="1:39">
      <c r="A124" s="325"/>
      <c r="B124" s="391" t="s">
        <v>1075</v>
      </c>
      <c r="C124" s="165">
        <f>'Inputs and eligible population'!F80</f>
        <v>12</v>
      </c>
      <c r="D124" s="141">
        <f>'Financial impact (cash)'!D15*'Capacity (local prices)'!$C124</f>
        <v>0</v>
      </c>
      <c r="E124" s="141">
        <f>'Financial impact (cash)'!E15*'Capacity (local prices)'!$C124</f>
        <v>2740.7402582913164</v>
      </c>
      <c r="F124" s="141">
        <f>'Financial impact (cash)'!F15*'Capacity (local prices)'!$C124</f>
        <v>3499.3680106288607</v>
      </c>
      <c r="G124" s="141">
        <f>'Financial impact (cash)'!G15*'Capacity (local prices)'!$C124</f>
        <v>3527.3537303712619</v>
      </c>
      <c r="H124" s="141">
        <f>'Financial impact (cash)'!H15*'Capacity (local prices)'!$C124</f>
        <v>3555.5632621011764</v>
      </c>
      <c r="I124" s="141">
        <f>'Financial impact (cash)'!I15*'Capacity (local prices)'!$C124</f>
        <v>3583.9983957245358</v>
      </c>
      <c r="J124" s="325"/>
      <c r="K124" s="329">
        <f>(D124*'Inputs and eligible population'!$I$80)/1000</f>
        <v>0</v>
      </c>
      <c r="L124" s="329">
        <f>(E124*'Inputs and eligible population'!$I$80)/1000</f>
        <v>284.98217205713109</v>
      </c>
      <c r="M124" s="329">
        <f>(F124*'Inputs and eligible population'!$I$80)/1000</f>
        <v>363.86428574518897</v>
      </c>
      <c r="N124" s="329">
        <f>(G124*'Inputs and eligible population'!$I$80)/1000</f>
        <v>366.7742408840038</v>
      </c>
      <c r="O124" s="329">
        <f>(H124*'Inputs and eligible population'!$I$80)/1000</f>
        <v>369.70746799328032</v>
      </c>
      <c r="P124" s="329">
        <f>(I124*'Inputs and eligible population'!$I$80)/1000</f>
        <v>372.66415318743725</v>
      </c>
      <c r="Q124" s="146"/>
      <c r="R124" s="146"/>
      <c r="S124" s="146"/>
      <c r="T124" s="146"/>
      <c r="U124" s="146"/>
      <c r="V124" s="146"/>
      <c r="W124" s="146"/>
      <c r="X124" s="146"/>
      <c r="Y124" s="146"/>
      <c r="AI124" s="323"/>
      <c r="AJ124" s="323"/>
      <c r="AK124" s="323"/>
      <c r="AL124" s="323"/>
      <c r="AM124" s="323"/>
    </row>
    <row r="125" spans="1:39">
      <c r="A125" s="325"/>
      <c r="B125" s="320"/>
      <c r="C125" s="228"/>
      <c r="D125" s="205">
        <f t="shared" ref="D125:I125" si="63">SUM(D124:D124)</f>
        <v>0</v>
      </c>
      <c r="E125" s="205">
        <f t="shared" si="63"/>
        <v>2740.7402582913164</v>
      </c>
      <c r="F125" s="205">
        <f t="shared" si="63"/>
        <v>3499.3680106288607</v>
      </c>
      <c r="G125" s="205">
        <f t="shared" si="63"/>
        <v>3527.3537303712619</v>
      </c>
      <c r="H125" s="205">
        <f t="shared" si="63"/>
        <v>3555.5632621011764</v>
      </c>
      <c r="I125" s="205">
        <f t="shared" si="63"/>
        <v>3583.9983957245358</v>
      </c>
      <c r="J125" s="325"/>
      <c r="K125" s="330">
        <f t="shared" ref="K125:P125" si="64">SUM(K124:K124)</f>
        <v>0</v>
      </c>
      <c r="L125" s="330">
        <f t="shared" si="64"/>
        <v>284.98217205713109</v>
      </c>
      <c r="M125" s="330">
        <f t="shared" si="64"/>
        <v>363.86428574518897</v>
      </c>
      <c r="N125" s="330">
        <f t="shared" si="64"/>
        <v>366.7742408840038</v>
      </c>
      <c r="O125" s="330">
        <f t="shared" si="64"/>
        <v>369.70746799328032</v>
      </c>
      <c r="P125" s="330">
        <f t="shared" si="64"/>
        <v>372.66415318743725</v>
      </c>
      <c r="Q125" s="146"/>
      <c r="R125" s="146"/>
      <c r="S125" s="146"/>
      <c r="T125" s="146"/>
      <c r="U125" s="146"/>
      <c r="V125" s="146"/>
      <c r="W125" s="146"/>
      <c r="X125" s="146"/>
      <c r="Y125" s="146"/>
      <c r="AI125" s="323"/>
      <c r="AJ125" s="323"/>
      <c r="AK125" s="323"/>
      <c r="AL125" s="323"/>
      <c r="AM125" s="323"/>
    </row>
    <row r="126" spans="1:39">
      <c r="A126" s="325"/>
      <c r="B126" s="348"/>
      <c r="C126" s="293"/>
      <c r="D126" s="322" t="s">
        <v>879</v>
      </c>
      <c r="E126" s="205">
        <f>E125-$D$125</f>
        <v>2740.7402582913164</v>
      </c>
      <c r="F126" s="205">
        <f>F125-$D$125</f>
        <v>3499.3680106288607</v>
      </c>
      <c r="G126" s="205">
        <f>G125-$D$125</f>
        <v>3527.3537303712619</v>
      </c>
      <c r="H126" s="205">
        <f>H125-$D$125</f>
        <v>3555.5632621011764</v>
      </c>
      <c r="I126" s="205">
        <f>I125-$D$125</f>
        <v>3583.9983957245358</v>
      </c>
      <c r="J126" s="325"/>
      <c r="K126" s="631"/>
      <c r="L126" s="330">
        <f>L125-$K$125</f>
        <v>284.98217205713109</v>
      </c>
      <c r="M126" s="330">
        <f t="shared" ref="M126:P126" si="65">M125-$K$125</f>
        <v>363.86428574518897</v>
      </c>
      <c r="N126" s="330">
        <f t="shared" si="65"/>
        <v>366.7742408840038</v>
      </c>
      <c r="O126" s="330">
        <f t="shared" si="65"/>
        <v>369.70746799328032</v>
      </c>
      <c r="P126" s="330">
        <f t="shared" si="65"/>
        <v>372.66415318743725</v>
      </c>
      <c r="U126" s="146"/>
    </row>
    <row r="127" spans="1:39">
      <c r="A127" s="325"/>
      <c r="B127" s="372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146"/>
      <c r="R127" s="146"/>
      <c r="S127" s="146"/>
      <c r="T127" s="146"/>
      <c r="U127" s="146"/>
      <c r="V127" s="146"/>
      <c r="W127" s="146"/>
      <c r="X127" s="146"/>
      <c r="Y127" s="146"/>
      <c r="AI127" s="323"/>
      <c r="AJ127" s="323"/>
      <c r="AK127" s="323"/>
      <c r="AL127" s="323"/>
      <c r="AM127" s="323"/>
    </row>
    <row r="128" spans="1:39">
      <c r="A128" s="327"/>
      <c r="B128" s="375" t="s">
        <v>880</v>
      </c>
      <c r="C128" s="356"/>
      <c r="D128" s="357"/>
      <c r="E128" s="358"/>
      <c r="F128" s="359"/>
      <c r="G128" s="359"/>
      <c r="H128" s="359"/>
      <c r="I128" s="477"/>
      <c r="J128" s="327"/>
      <c r="K128" s="327"/>
      <c r="L128" s="327"/>
      <c r="M128" s="327"/>
      <c r="N128" s="327"/>
      <c r="O128" s="327"/>
      <c r="P128" s="245"/>
      <c r="Q128" s="146"/>
      <c r="R128" s="146"/>
      <c r="S128" s="146"/>
      <c r="T128" s="146"/>
      <c r="U128" s="146"/>
      <c r="V128" s="146"/>
      <c r="W128" s="146"/>
      <c r="X128" s="146"/>
      <c r="Y128" s="146"/>
      <c r="AI128" s="323"/>
      <c r="AJ128" s="323"/>
      <c r="AK128" s="323"/>
      <c r="AL128" s="323"/>
      <c r="AM128" s="323"/>
    </row>
    <row r="129" spans="1:39">
      <c r="A129" s="327"/>
      <c r="B129" s="440" t="s">
        <v>1051</v>
      </c>
      <c r="C129" s="441"/>
      <c r="D129" s="441"/>
      <c r="E129" s="441"/>
      <c r="F129" s="441"/>
      <c r="G129" s="441"/>
      <c r="H129" s="441"/>
      <c r="I129" s="244"/>
      <c r="J129" s="245"/>
      <c r="K129" s="471"/>
      <c r="L129" s="471"/>
      <c r="M129" s="471"/>
      <c r="N129" s="471"/>
      <c r="O129" s="471"/>
      <c r="P129" s="471"/>
      <c r="Q129" s="146"/>
      <c r="R129" s="146"/>
      <c r="S129" s="146"/>
      <c r="T129" s="146"/>
      <c r="U129" s="146"/>
      <c r="V129" s="146"/>
      <c r="W129" s="146"/>
      <c r="X129" s="146"/>
      <c r="Y129" s="146"/>
      <c r="AI129" s="323"/>
      <c r="AJ129" s="323"/>
      <c r="AK129" s="323"/>
      <c r="AL129" s="323"/>
      <c r="AM129" s="323"/>
    </row>
    <row r="130" spans="1:39" ht="43.5">
      <c r="A130" s="327"/>
      <c r="B130" s="316" t="s">
        <v>160</v>
      </c>
      <c r="C130" s="182" t="s">
        <v>1101</v>
      </c>
      <c r="D130" s="463" t="s">
        <v>841</v>
      </c>
      <c r="E130" s="292" t="s">
        <v>60</v>
      </c>
      <c r="F130" s="292" t="s">
        <v>61</v>
      </c>
      <c r="G130" s="181" t="s">
        <v>62</v>
      </c>
      <c r="H130" s="181" t="s">
        <v>843</v>
      </c>
      <c r="I130" s="292" t="s">
        <v>844</v>
      </c>
      <c r="J130" s="327"/>
      <c r="K130" s="463" t="s">
        <v>841</v>
      </c>
      <c r="L130" s="292" t="s">
        <v>60</v>
      </c>
      <c r="M130" s="292" t="s">
        <v>61</v>
      </c>
      <c r="N130" s="181" t="s">
        <v>842</v>
      </c>
      <c r="O130" s="181" t="s">
        <v>843</v>
      </c>
      <c r="P130" s="292" t="s">
        <v>844</v>
      </c>
      <c r="Q130" s="146"/>
      <c r="R130" s="146"/>
      <c r="S130" s="146"/>
      <c r="T130" s="146"/>
      <c r="U130" s="146"/>
      <c r="V130" s="146"/>
      <c r="W130" s="146"/>
      <c r="X130" s="146"/>
      <c r="Y130" s="146"/>
      <c r="AI130" s="323"/>
      <c r="AJ130" s="323"/>
      <c r="AK130" s="323"/>
      <c r="AL130" s="323"/>
      <c r="AM130" s="323"/>
    </row>
    <row r="131" spans="1:39">
      <c r="A131" s="327"/>
      <c r="B131" s="391" t="s">
        <v>1075</v>
      </c>
      <c r="C131" s="165">
        <f>'Inputs and eligible population'!F81</f>
        <v>12</v>
      </c>
      <c r="D131" s="141">
        <f>D$7*'Inputs and eligible population'!E60*'Capacity (local prices)'!$C131</f>
        <v>0</v>
      </c>
      <c r="E131" s="141">
        <f>E$7*'Inputs and eligible population'!F60*'Capacity (local prices)'!$C131</f>
        <v>2740.7402582913164</v>
      </c>
      <c r="F131" s="141">
        <f>F$7*'Inputs and eligible population'!G60*'Capacity (local prices)'!$C131</f>
        <v>3499.3680106288607</v>
      </c>
      <c r="G131" s="141">
        <f>G$7*'Inputs and eligible population'!H60*'Capacity (local prices)'!$C131</f>
        <v>3527.3537303712619</v>
      </c>
      <c r="H131" s="141">
        <f>H$7*'Inputs and eligible population'!I60*'Capacity (local prices)'!$C131</f>
        <v>3555.5632621011764</v>
      </c>
      <c r="I131" s="141">
        <f>I$7*'Inputs and eligible population'!J60*'Capacity (local prices)'!$C131</f>
        <v>3583.9983957245358</v>
      </c>
      <c r="J131" s="327"/>
      <c r="K131" s="329">
        <f>(D131*'Inputs and eligible population'!$I$81)/1000</f>
        <v>0</v>
      </c>
      <c r="L131" s="329">
        <f>(E131*'Inputs and eligible population'!$I$81)/1000</f>
        <v>106.86146267077844</v>
      </c>
      <c r="M131" s="329">
        <f>(F131*'Inputs and eligible population'!$I$81)/1000</f>
        <v>136.44035873441928</v>
      </c>
      <c r="N131" s="329">
        <f>(G131*'Inputs and eligible population'!$I$81)/1000</f>
        <v>137.53152194717549</v>
      </c>
      <c r="O131" s="329">
        <f>(H131*'Inputs and eligible population'!$I$81)/1000</f>
        <v>138.63141158932487</v>
      </c>
      <c r="P131" s="329">
        <f>(I131*'Inputs and eligible population'!$I$81)/1000</f>
        <v>139.74009744929964</v>
      </c>
      <c r="Q131" s="146"/>
      <c r="R131" s="146"/>
      <c r="S131" s="146"/>
      <c r="T131" s="146"/>
      <c r="U131" s="146"/>
      <c r="V131" s="146"/>
      <c r="W131" s="146"/>
      <c r="X131" s="146"/>
      <c r="Y131" s="146"/>
      <c r="AI131" s="323"/>
      <c r="AJ131" s="323"/>
      <c r="AK131" s="323"/>
      <c r="AL131" s="323"/>
      <c r="AM131" s="323"/>
    </row>
    <row r="132" spans="1:39">
      <c r="A132" s="327"/>
      <c r="B132" s="320"/>
      <c r="C132" s="228"/>
      <c r="D132" s="205">
        <f t="shared" ref="D132:I132" si="66">SUM(D131:D131)</f>
        <v>0</v>
      </c>
      <c r="E132" s="205">
        <f t="shared" si="66"/>
        <v>2740.7402582913164</v>
      </c>
      <c r="F132" s="205">
        <f t="shared" si="66"/>
        <v>3499.3680106288607</v>
      </c>
      <c r="G132" s="205">
        <f t="shared" si="66"/>
        <v>3527.3537303712619</v>
      </c>
      <c r="H132" s="205">
        <f t="shared" si="66"/>
        <v>3555.5632621011764</v>
      </c>
      <c r="I132" s="205">
        <f t="shared" si="66"/>
        <v>3583.9983957245358</v>
      </c>
      <c r="J132" s="327"/>
      <c r="K132" s="330">
        <f t="shared" ref="K132:P132" si="67">SUM(K131:K131)</f>
        <v>0</v>
      </c>
      <c r="L132" s="330">
        <f t="shared" si="67"/>
        <v>106.86146267077844</v>
      </c>
      <c r="M132" s="330">
        <f t="shared" si="67"/>
        <v>136.44035873441928</v>
      </c>
      <c r="N132" s="330">
        <f t="shared" si="67"/>
        <v>137.53152194717549</v>
      </c>
      <c r="O132" s="330">
        <f t="shared" si="67"/>
        <v>138.63141158932487</v>
      </c>
      <c r="P132" s="330">
        <f t="shared" si="67"/>
        <v>139.74009744929964</v>
      </c>
      <c r="Q132" s="146"/>
      <c r="R132" s="146"/>
      <c r="S132" s="146"/>
      <c r="T132" s="146"/>
      <c r="U132" s="146"/>
      <c r="V132" s="146"/>
      <c r="W132" s="146"/>
      <c r="X132" s="146"/>
      <c r="Y132" s="146"/>
      <c r="AI132" s="323"/>
      <c r="AJ132" s="323"/>
      <c r="AK132" s="323"/>
      <c r="AL132" s="323"/>
      <c r="AM132" s="323"/>
    </row>
    <row r="133" spans="1:39">
      <c r="A133" s="327"/>
      <c r="B133" s="348"/>
      <c r="C133" s="293"/>
      <c r="D133" s="322" t="s">
        <v>1098</v>
      </c>
      <c r="E133" s="205">
        <f>E132-$D$132</f>
        <v>2740.7402582913164</v>
      </c>
      <c r="F133" s="205">
        <f>F132-$D$132</f>
        <v>3499.3680106288607</v>
      </c>
      <c r="G133" s="205">
        <f>G132-$D$132</f>
        <v>3527.3537303712619</v>
      </c>
      <c r="H133" s="205">
        <f>H132-$D$132</f>
        <v>3555.5632621011764</v>
      </c>
      <c r="I133" s="205">
        <f>I132-$D$132</f>
        <v>3583.9983957245358</v>
      </c>
      <c r="J133" s="327"/>
      <c r="K133" s="632"/>
      <c r="L133" s="330">
        <f>L132-$K$132</f>
        <v>106.86146267077844</v>
      </c>
      <c r="M133" s="330">
        <f t="shared" ref="M133:P133" si="68">M132-$K$132</f>
        <v>136.44035873441928</v>
      </c>
      <c r="N133" s="330">
        <f t="shared" si="68"/>
        <v>137.53152194717549</v>
      </c>
      <c r="O133" s="330">
        <f t="shared" si="68"/>
        <v>138.63141158932487</v>
      </c>
      <c r="P133" s="330">
        <f t="shared" si="68"/>
        <v>139.74009744929964</v>
      </c>
      <c r="U133" s="146"/>
    </row>
    <row r="134" spans="1:39">
      <c r="A134" s="327"/>
      <c r="B134" s="376"/>
      <c r="C134" s="245"/>
      <c r="D134" s="245"/>
      <c r="E134" s="245"/>
      <c r="F134" s="245"/>
      <c r="G134" s="245"/>
      <c r="H134" s="245"/>
      <c r="I134" s="245"/>
      <c r="J134" s="327"/>
      <c r="K134" s="245"/>
      <c r="L134" s="245"/>
      <c r="M134" s="245"/>
      <c r="N134" s="245"/>
      <c r="O134" s="245"/>
      <c r="P134" s="245"/>
      <c r="U134" s="146"/>
    </row>
    <row r="135" spans="1:39">
      <c r="A135" s="327"/>
      <c r="B135" s="327"/>
      <c r="C135" s="245"/>
      <c r="D135" s="327"/>
      <c r="E135" s="327"/>
      <c r="F135" s="327"/>
      <c r="G135" s="327"/>
      <c r="H135" s="327"/>
      <c r="I135" s="245"/>
      <c r="J135" s="245"/>
      <c r="K135" s="245"/>
      <c r="L135" s="245"/>
      <c r="M135" s="245"/>
      <c r="N135" s="245"/>
      <c r="O135" s="245"/>
      <c r="P135" s="245"/>
      <c r="U135" s="146"/>
    </row>
    <row r="136" spans="1:39">
      <c r="A136" s="328"/>
      <c r="B136" s="377" t="s">
        <v>119</v>
      </c>
      <c r="C136" s="360"/>
      <c r="D136" s="361"/>
      <c r="E136" s="362"/>
      <c r="F136" s="363"/>
      <c r="G136" s="363"/>
      <c r="H136" s="363"/>
      <c r="I136" s="472"/>
      <c r="J136" s="480"/>
      <c r="K136" s="328"/>
      <c r="L136" s="328"/>
      <c r="M136" s="328"/>
      <c r="N136" s="328"/>
      <c r="O136" s="328"/>
      <c r="P136" s="328"/>
      <c r="Q136" s="146"/>
      <c r="R136" s="146"/>
      <c r="S136" s="146"/>
      <c r="T136" s="146"/>
      <c r="U136" s="146"/>
      <c r="V136" s="146"/>
      <c r="W136" s="146"/>
      <c r="X136" s="146"/>
      <c r="Y136" s="146"/>
      <c r="AI136" s="323"/>
      <c r="AJ136" s="323"/>
      <c r="AK136" s="323"/>
      <c r="AL136" s="323"/>
      <c r="AM136" s="323"/>
    </row>
    <row r="137" spans="1:39">
      <c r="A137" s="328"/>
      <c r="B137" s="442" t="s">
        <v>881</v>
      </c>
      <c r="C137" s="443"/>
      <c r="D137" s="443"/>
      <c r="E137" s="443"/>
      <c r="F137" s="443"/>
      <c r="G137" s="443"/>
      <c r="H137" s="443"/>
      <c r="I137" s="246"/>
      <c r="J137" s="478"/>
      <c r="K137" s="479"/>
      <c r="L137" s="479"/>
      <c r="M137" s="479"/>
      <c r="N137" s="479"/>
      <c r="O137" s="479"/>
      <c r="P137" s="479"/>
      <c r="Q137" s="146"/>
      <c r="R137" s="146"/>
      <c r="S137" s="146"/>
      <c r="T137" s="146"/>
      <c r="U137" s="146"/>
      <c r="V137" s="146"/>
      <c r="W137" s="146"/>
      <c r="X137" s="146"/>
      <c r="Y137" s="146"/>
      <c r="AI137" s="323"/>
      <c r="AJ137" s="323"/>
      <c r="AK137" s="323"/>
      <c r="AL137" s="323"/>
      <c r="AM137" s="323"/>
    </row>
    <row r="138" spans="1:39" ht="43.5">
      <c r="A138" s="328"/>
      <c r="B138" s="316" t="s">
        <v>160</v>
      </c>
      <c r="C138" s="230"/>
      <c r="D138" s="463" t="s">
        <v>841</v>
      </c>
      <c r="E138" s="292" t="s">
        <v>60</v>
      </c>
      <c r="F138" s="292" t="s">
        <v>61</v>
      </c>
      <c r="G138" s="181" t="s">
        <v>62</v>
      </c>
      <c r="H138" s="181" t="s">
        <v>843</v>
      </c>
      <c r="I138" s="292" t="s">
        <v>844</v>
      </c>
      <c r="J138" s="328"/>
      <c r="K138" s="463" t="s">
        <v>841</v>
      </c>
      <c r="L138" s="292" t="s">
        <v>60</v>
      </c>
      <c r="M138" s="292" t="s">
        <v>61</v>
      </c>
      <c r="N138" s="181" t="s">
        <v>842</v>
      </c>
      <c r="O138" s="181" t="s">
        <v>843</v>
      </c>
      <c r="P138" s="292" t="s">
        <v>844</v>
      </c>
      <c r="Q138" s="146"/>
      <c r="R138" s="146"/>
      <c r="S138" s="146"/>
      <c r="T138" s="146"/>
      <c r="U138" s="146"/>
      <c r="V138" s="146"/>
      <c r="W138" s="146"/>
      <c r="X138" s="146"/>
      <c r="Y138" s="146"/>
      <c r="AI138" s="323"/>
      <c r="AJ138" s="323"/>
      <c r="AK138" s="323"/>
      <c r="AL138" s="323"/>
      <c r="AM138" s="323"/>
    </row>
    <row r="139" spans="1:39">
      <c r="A139" s="328"/>
      <c r="B139" s="284" t="str">
        <f>'Unit costs'!B47</f>
        <v>Anaemia</v>
      </c>
      <c r="C139" s="184"/>
      <c r="D139" s="141">
        <f>'Unit costs'!$C$47*'Financial impact (cash)'!D15</f>
        <v>0</v>
      </c>
      <c r="E139" s="141">
        <f>'Unit costs'!$C$47*'Financial impact (cash)'!E15</f>
        <v>91.814798652759109</v>
      </c>
      <c r="F139" s="141">
        <f>'Unit costs'!$C$47*'Financial impact (cash)'!F15</f>
        <v>117.22882835606684</v>
      </c>
      <c r="G139" s="141">
        <f>'Unit costs'!$C$47*'Financial impact (cash)'!G15</f>
        <v>118.16634996743728</v>
      </c>
      <c r="H139" s="141">
        <f>'Unit costs'!$C$47*'Financial impact (cash)'!H15</f>
        <v>119.11136928038941</v>
      </c>
      <c r="I139" s="141">
        <f>'Unit costs'!$C$47*'Financial impact (cash)'!I15</f>
        <v>120.06394625677196</v>
      </c>
      <c r="J139" s="328"/>
      <c r="K139" s="329">
        <f>'Unit costs'!$I$47*D139/1000</f>
        <v>0</v>
      </c>
      <c r="L139" s="329">
        <f>'Unit costs'!$I$47*E139/1000</f>
        <v>31.951549931160169</v>
      </c>
      <c r="M139" s="329">
        <f>'Unit costs'!$I$47*F139/1000</f>
        <v>40.795632267911266</v>
      </c>
      <c r="N139" s="329">
        <f>'Unit costs'!$I$47*G139/1000</f>
        <v>41.12188978866817</v>
      </c>
      <c r="O139" s="329">
        <f>'Unit costs'!$I$47*H139/1000</f>
        <v>41.450756509575513</v>
      </c>
      <c r="P139" s="329">
        <f>'Unit costs'!$I$47*I139/1000</f>
        <v>41.78225329735664</v>
      </c>
      <c r="Q139" s="146"/>
      <c r="R139" s="146"/>
      <c r="S139" s="146"/>
      <c r="T139" s="146"/>
      <c r="U139" s="146"/>
      <c r="V139" s="146"/>
      <c r="W139" s="146"/>
      <c r="X139" s="146"/>
      <c r="Y139" s="146"/>
      <c r="AI139" s="323"/>
      <c r="AJ139" s="323"/>
      <c r="AK139" s="323"/>
      <c r="AL139" s="323"/>
      <c r="AM139" s="323"/>
    </row>
    <row r="140" spans="1:39">
      <c r="A140" s="328"/>
      <c r="B140" s="284" t="str">
        <f>'Unit costs'!B48</f>
        <v>Neutropaenia</v>
      </c>
      <c r="C140" s="184"/>
      <c r="D140" s="141">
        <f>'Unit costs'!$C$48*'Financial impact (cash)'!D15</f>
        <v>0</v>
      </c>
      <c r="E140" s="141">
        <f>'Unit costs'!$C$48*'Financial impact (cash)'!E15</f>
        <v>43.166659068088236</v>
      </c>
      <c r="F140" s="141">
        <f>'Unit costs'!$C$48*'Financial impact (cash)'!F15</f>
        <v>55.115046167404557</v>
      </c>
      <c r="G140" s="141">
        <f>'Unit costs'!$C$48*'Financial impact (cash)'!G15</f>
        <v>55.555821253347382</v>
      </c>
      <c r="H140" s="141">
        <f>'Unit costs'!$C$48*'Financial impact (cash)'!H15</f>
        <v>56.000121378093532</v>
      </c>
      <c r="I140" s="141">
        <f>'Unit costs'!$C$48*'Financial impact (cash)'!I15</f>
        <v>56.447974732661443</v>
      </c>
      <c r="J140" s="328"/>
      <c r="K140" s="329">
        <f>D140*'Unit costs'!$I$48/1000</f>
        <v>0</v>
      </c>
      <c r="L140" s="329">
        <f>E140*'Unit costs'!$I$48/1000</f>
        <v>3.2115994346657648</v>
      </c>
      <c r="M140" s="329">
        <f>F140*'Unit costs'!$I$48/1000</f>
        <v>4.1005594348548993</v>
      </c>
      <c r="N140" s="329">
        <f>G140*'Unit costs'!$I$48/1000</f>
        <v>4.1333531012490461</v>
      </c>
      <c r="O140" s="329">
        <f>H140*'Unit costs'!$I$48/1000</f>
        <v>4.1664090305301587</v>
      </c>
      <c r="P140" s="329">
        <f>I140*'Unit costs'!$I$48/1000</f>
        <v>4.1997293201100119</v>
      </c>
      <c r="Q140" s="146"/>
      <c r="R140" s="146"/>
      <c r="S140" s="146"/>
      <c r="T140" s="146"/>
      <c r="U140" s="146"/>
      <c r="V140" s="146"/>
      <c r="W140" s="146"/>
      <c r="X140" s="146"/>
      <c r="Y140" s="146"/>
      <c r="AI140" s="323"/>
      <c r="AJ140" s="323"/>
      <c r="AK140" s="323"/>
      <c r="AL140" s="323"/>
      <c r="AM140" s="323"/>
    </row>
    <row r="141" spans="1:39">
      <c r="A141" s="328"/>
      <c r="B141" s="284" t="str">
        <f>'Unit costs'!B49</f>
        <v>Thrombocytopenia</v>
      </c>
      <c r="C141" s="184"/>
      <c r="D141" s="141">
        <f>'Unit costs'!$C$49*'Financial impact (cash)'!D15</f>
        <v>0</v>
      </c>
      <c r="E141" s="141">
        <f>'Unit costs'!$C$49*'Financial impact (cash)'!E15</f>
        <v>18.271601721942112</v>
      </c>
      <c r="F141" s="141">
        <f>'Unit costs'!$C$49*'Financial impact (cash)'!F15</f>
        <v>23.329120070859073</v>
      </c>
      <c r="G141" s="141">
        <f>'Unit costs'!$C$49*'Financial impact (cash)'!G15</f>
        <v>23.515691535808415</v>
      </c>
      <c r="H141" s="141">
        <f>'Unit costs'!$C$49*'Financial impact (cash)'!H15</f>
        <v>23.703755080674508</v>
      </c>
      <c r="I141" s="141">
        <f>'Unit costs'!$C$49*'Financial impact (cash)'!I15</f>
        <v>23.893322638163571</v>
      </c>
      <c r="J141" s="328"/>
      <c r="K141" s="329">
        <f>D141*'Unit costs'!$I$49/1000</f>
        <v>0</v>
      </c>
      <c r="L141" s="329">
        <f>E141*'Unit costs'!$I$49/1000</f>
        <v>5.6276533303581697</v>
      </c>
      <c r="M141" s="329">
        <f>F141*'Unit costs'!$I$49/1000</f>
        <v>7.1853689818245945</v>
      </c>
      <c r="N141" s="329">
        <f>G141*'Unit costs'!$I$49/1000</f>
        <v>7.2428329930289923</v>
      </c>
      <c r="O141" s="329">
        <f>H141*'Unit costs'!$I$49/1000</f>
        <v>7.3007565648477488</v>
      </c>
      <c r="P141" s="329">
        <f>I141*'Unit costs'!$I$49/1000</f>
        <v>7.3591433725543798</v>
      </c>
      <c r="Q141" s="146"/>
      <c r="R141" s="146"/>
      <c r="S141" s="146"/>
      <c r="T141" s="146"/>
      <c r="U141" s="146"/>
      <c r="V141" s="146"/>
      <c r="W141" s="146"/>
      <c r="X141" s="146"/>
      <c r="Y141" s="146"/>
      <c r="AI141" s="323"/>
      <c r="AJ141" s="323"/>
      <c r="AK141" s="323"/>
      <c r="AL141" s="323"/>
      <c r="AM141" s="323"/>
    </row>
    <row r="142" spans="1:39">
      <c r="A142" s="328"/>
      <c r="B142" s="317"/>
      <c r="C142" s="230"/>
      <c r="D142" s="205">
        <f t="shared" ref="D142:I142" si="69">SUM(D139:D141)</f>
        <v>0</v>
      </c>
      <c r="E142" s="205">
        <f t="shared" si="69"/>
        <v>153.25305944278946</v>
      </c>
      <c r="F142" s="205">
        <f t="shared" si="69"/>
        <v>195.67299459433048</v>
      </c>
      <c r="G142" s="205">
        <f t="shared" si="69"/>
        <v>197.23786275659307</v>
      </c>
      <c r="H142" s="205">
        <f t="shared" si="69"/>
        <v>198.81524573915746</v>
      </c>
      <c r="I142" s="205">
        <f t="shared" si="69"/>
        <v>200.40524362759697</v>
      </c>
      <c r="J142" s="328"/>
      <c r="K142" s="330">
        <f t="shared" ref="K142:P142" si="70">SUM(K139:K141)</f>
        <v>0</v>
      </c>
      <c r="L142" s="330">
        <f t="shared" si="70"/>
        <v>40.790802696184109</v>
      </c>
      <c r="M142" s="330">
        <f t="shared" si="70"/>
        <v>52.081560684590762</v>
      </c>
      <c r="N142" s="330">
        <f t="shared" si="70"/>
        <v>52.498075882946203</v>
      </c>
      <c r="O142" s="330">
        <f t="shared" si="70"/>
        <v>52.917922104953419</v>
      </c>
      <c r="P142" s="330">
        <f t="shared" si="70"/>
        <v>53.341125990021027</v>
      </c>
      <c r="Q142" s="146"/>
      <c r="R142" s="146"/>
      <c r="S142" s="146"/>
      <c r="T142" s="146"/>
      <c r="U142" s="146"/>
      <c r="V142" s="146"/>
      <c r="W142" s="146"/>
      <c r="X142" s="146"/>
      <c r="Y142" s="146"/>
      <c r="AI142" s="323"/>
      <c r="AJ142" s="323"/>
      <c r="AK142" s="323"/>
      <c r="AL142" s="323"/>
      <c r="AM142" s="323"/>
    </row>
    <row r="143" spans="1:39">
      <c r="A143" s="328"/>
      <c r="B143" s="348"/>
      <c r="C143" s="230"/>
      <c r="D143" s="322" t="s">
        <v>882</v>
      </c>
      <c r="E143" s="205">
        <f>E142-$D$142</f>
        <v>153.25305944278946</v>
      </c>
      <c r="F143" s="205">
        <f>F142-$D$142</f>
        <v>195.67299459433048</v>
      </c>
      <c r="G143" s="205">
        <f>G142-$D$142</f>
        <v>197.23786275659307</v>
      </c>
      <c r="H143" s="205">
        <f>H142-$D$142</f>
        <v>198.81524573915746</v>
      </c>
      <c r="I143" s="205">
        <f>I142-$D$142</f>
        <v>200.40524362759697</v>
      </c>
      <c r="J143" s="328"/>
      <c r="K143" s="633"/>
      <c r="L143" s="330">
        <f>L142-$K$142</f>
        <v>40.790802696184109</v>
      </c>
      <c r="M143" s="330">
        <f t="shared" ref="M143:P143" si="71">M142-$K$142</f>
        <v>52.081560684590762</v>
      </c>
      <c r="N143" s="330">
        <f t="shared" si="71"/>
        <v>52.498075882946203</v>
      </c>
      <c r="O143" s="330">
        <f t="shared" si="71"/>
        <v>52.917922104953419</v>
      </c>
      <c r="P143" s="330">
        <f t="shared" si="71"/>
        <v>53.341125990021027</v>
      </c>
    </row>
    <row r="144" spans="1:39">
      <c r="A144" s="328"/>
      <c r="B144" s="328"/>
      <c r="C144" s="328"/>
      <c r="D144" s="328"/>
      <c r="E144" s="328"/>
      <c r="F144" s="328"/>
      <c r="G144" s="328"/>
      <c r="H144" s="328"/>
      <c r="I144" s="328"/>
      <c r="J144" s="328"/>
      <c r="K144" s="328"/>
      <c r="L144" s="328"/>
      <c r="M144" s="328"/>
      <c r="N144" s="328"/>
      <c r="O144" s="328"/>
      <c r="P144" s="328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</sheetData>
  <sheetProtection algorithmName="SHA-512" hashValue="tnh9IJLe1f90ZnYL8mvxu/3lVDOflyFaPtaE2tNBMOi6UWZSBHXEGcU++Lb54WCgFufDAlkDHnxYhC3LTqYaQQ==" saltValue="BKe6HWusJMuCKC/odoUEcw==" spinCount="100000" sheet="1" objects="1" scenarios="1"/>
  <protectedRanges>
    <protectedRange sqref="B139:B141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M148"/>
  <sheetViews>
    <sheetView showGridLines="0" zoomScale="80" zoomScaleNormal="80" zoomScaleSheetLayoutView="30" workbookViewId="0"/>
  </sheetViews>
  <sheetFormatPr defaultColWidth="8.81640625" defaultRowHeight="14.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7" width="11.7265625" customWidth="1"/>
    <col min="18" max="18" width="11.453125" customWidth="1"/>
    <col min="19" max="19" width="11.7265625" customWidth="1"/>
    <col min="20" max="25" width="10.81640625" customWidth="1"/>
    <col min="27" max="40" width="0" hidden="1" customWidth="1"/>
  </cols>
  <sheetData>
    <row r="1" spans="1:39" ht="30" customHeight="1">
      <c r="B1" s="680" t="str">
        <f>'Unit costs'!B1</f>
        <v>Talazoparib for treating HER2-negative advanced breast cancer with germline BRCA mutations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>
      <c r="B2" s="235" t="s">
        <v>883</v>
      </c>
      <c r="C2" s="140" t="s">
        <v>135</v>
      </c>
      <c r="D2" s="140" t="s">
        <v>135</v>
      </c>
      <c r="E2" s="140" t="s">
        <v>135</v>
      </c>
      <c r="F2" s="140" t="s">
        <v>135</v>
      </c>
      <c r="G2" s="140" t="s">
        <v>135</v>
      </c>
      <c r="H2" s="140" t="s">
        <v>135</v>
      </c>
      <c r="I2" s="140" t="s">
        <v>135</v>
      </c>
      <c r="J2" s="140" t="s">
        <v>135</v>
      </c>
      <c r="K2" s="140" t="s">
        <v>135</v>
      </c>
      <c r="L2" s="140" t="s">
        <v>135</v>
      </c>
      <c r="M2" s="140" t="s">
        <v>135</v>
      </c>
      <c r="N2" s="140" t="s">
        <v>135</v>
      </c>
      <c r="O2" s="140" t="s">
        <v>135</v>
      </c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5" customHeight="1">
      <c r="B3" s="143" t="s">
        <v>135</v>
      </c>
      <c r="C3" s="146" t="s">
        <v>135</v>
      </c>
      <c r="D3" s="146" t="s">
        <v>135</v>
      </c>
      <c r="E3" s="146" t="s">
        <v>135</v>
      </c>
      <c r="F3" s="146" t="s">
        <v>135</v>
      </c>
      <c r="G3" s="146" t="s">
        <v>135</v>
      </c>
      <c r="H3" s="146" t="s">
        <v>135</v>
      </c>
      <c r="I3" s="146" t="s">
        <v>135</v>
      </c>
      <c r="J3" s="146" t="s">
        <v>135</v>
      </c>
      <c r="K3" s="146" t="s">
        <v>135</v>
      </c>
      <c r="L3" s="146" t="s">
        <v>135</v>
      </c>
      <c r="M3" s="146" t="s">
        <v>135</v>
      </c>
      <c r="N3" s="146" t="s">
        <v>135</v>
      </c>
      <c r="O3" s="146" t="s">
        <v>135</v>
      </c>
      <c r="P3" s="146"/>
      <c r="Q3" s="146"/>
      <c r="R3" s="140"/>
      <c r="S3" s="140"/>
      <c r="T3" s="140"/>
      <c r="U3" s="140"/>
      <c r="V3" s="140"/>
      <c r="W3" s="140"/>
      <c r="X3" s="146"/>
      <c r="Y3" s="146"/>
    </row>
    <row r="4" spans="1:39" ht="14.5" customHeight="1">
      <c r="B4" t="s">
        <v>850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5" customHeight="1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0"/>
      <c r="S5" s="140"/>
      <c r="T5" s="140"/>
      <c r="U5" s="140"/>
      <c r="V5" s="140"/>
      <c r="W5" s="140"/>
      <c r="X5" s="146"/>
      <c r="Y5" s="146"/>
    </row>
    <row r="6" spans="1:39" ht="43.5">
      <c r="B6" s="294" t="s">
        <v>196</v>
      </c>
      <c r="C6" s="230"/>
      <c r="D6" s="463" t="s">
        <v>841</v>
      </c>
      <c r="E6" s="292" t="s">
        <v>60</v>
      </c>
      <c r="F6" s="292" t="s">
        <v>61</v>
      </c>
      <c r="G6" s="181" t="s">
        <v>842</v>
      </c>
      <c r="H6" s="181" t="s">
        <v>843</v>
      </c>
      <c r="I6" s="292" t="s">
        <v>844</v>
      </c>
      <c r="K6" s="463" t="s">
        <v>841</v>
      </c>
      <c r="L6" s="292" t="s">
        <v>60</v>
      </c>
      <c r="M6" s="292" t="s">
        <v>61</v>
      </c>
      <c r="N6" s="181" t="s">
        <v>842</v>
      </c>
      <c r="O6" s="181" t="s">
        <v>843</v>
      </c>
      <c r="P6" s="292" t="s">
        <v>844</v>
      </c>
      <c r="Q6" s="146"/>
      <c r="R6" s="140"/>
      <c r="S6" s="140"/>
      <c r="T6" s="140"/>
      <c r="U6" s="140"/>
      <c r="V6" s="140"/>
      <c r="W6" s="140"/>
      <c r="X6" s="146"/>
      <c r="Y6" s="146"/>
      <c r="AI6" s="323"/>
      <c r="AJ6" s="323"/>
      <c r="AK6" s="323"/>
      <c r="AL6" s="323"/>
      <c r="AM6" s="323"/>
    </row>
    <row r="7" spans="1:39" ht="14.5" customHeight="1">
      <c r="B7" s="248" t="s">
        <v>196</v>
      </c>
      <c r="C7" s="184"/>
      <c r="D7" s="425">
        <f>'Inputs and eligible population'!F44</f>
        <v>302.11060687500003</v>
      </c>
      <c r="E7" s="425">
        <f>'Inputs and eligible population'!G44</f>
        <v>304.52669536570187</v>
      </c>
      <c r="F7" s="425">
        <f>'Inputs and eligible population'!H44</f>
        <v>306.96210619551414</v>
      </c>
      <c r="G7" s="425">
        <f>'Inputs and eligible population'!I44</f>
        <v>309.416993892216</v>
      </c>
      <c r="H7" s="425">
        <f>'Inputs and eligible population'!J44</f>
        <v>311.89151421940147</v>
      </c>
      <c r="I7" s="425">
        <f>'Inputs and eligible population'!K44</f>
        <v>314.38582418636281</v>
      </c>
      <c r="O7" s="146"/>
      <c r="P7" s="146"/>
      <c r="Q7" s="146"/>
      <c r="R7" s="140"/>
      <c r="S7" s="140"/>
      <c r="T7" s="140"/>
      <c r="U7" s="140"/>
      <c r="V7" s="140"/>
      <c r="W7" s="140"/>
      <c r="X7" s="146"/>
      <c r="Y7" s="146"/>
      <c r="AI7" s="323"/>
      <c r="AJ7" s="323"/>
      <c r="AK7" s="323"/>
      <c r="AL7" s="323"/>
      <c r="AM7" s="323"/>
    </row>
    <row r="8" spans="1:39" ht="14.5" customHeight="1">
      <c r="B8"/>
      <c r="O8" s="146"/>
      <c r="P8" s="146"/>
      <c r="Q8" s="146"/>
      <c r="R8" s="140"/>
      <c r="S8" s="140"/>
      <c r="T8" s="140"/>
      <c r="U8" s="140"/>
      <c r="V8" s="140"/>
      <c r="W8" s="140"/>
      <c r="X8" s="146"/>
      <c r="Y8" s="146"/>
      <c r="AI8" s="323"/>
      <c r="AJ8" s="323"/>
      <c r="AK8" s="323"/>
      <c r="AL8" s="323"/>
      <c r="AM8" s="323"/>
    </row>
    <row r="9" spans="1:39" ht="14.5" customHeight="1">
      <c r="B9" s="316" t="s">
        <v>851</v>
      </c>
      <c r="C9" s="481"/>
      <c r="D9" s="481"/>
      <c r="E9" s="482"/>
      <c r="F9" s="481"/>
      <c r="G9" s="483"/>
      <c r="H9" s="484"/>
      <c r="I9" s="484"/>
      <c r="J9" s="612"/>
      <c r="K9" s="288" t="s">
        <v>199</v>
      </c>
      <c r="L9" s="288" t="s">
        <v>199</v>
      </c>
      <c r="M9" s="288" t="s">
        <v>199</v>
      </c>
      <c r="N9" s="288" t="s">
        <v>199</v>
      </c>
      <c r="O9" s="288" t="s">
        <v>199</v>
      </c>
      <c r="P9" s="288" t="s">
        <v>199</v>
      </c>
      <c r="Q9" s="146"/>
      <c r="R9" s="140"/>
      <c r="S9" s="140"/>
      <c r="T9" s="140"/>
      <c r="U9" s="140"/>
      <c r="V9" s="140"/>
      <c r="W9" s="140"/>
      <c r="X9" s="146"/>
      <c r="Y9" s="146"/>
      <c r="AI9" s="323"/>
      <c r="AJ9" s="323"/>
      <c r="AK9" s="323"/>
      <c r="AL9" s="323"/>
      <c r="AM9" s="323"/>
    </row>
    <row r="10" spans="1:39" ht="14.5" customHeight="1">
      <c r="A10" s="334"/>
      <c r="B10" s="485" t="str">
        <f>B32</f>
        <v>First attendances</v>
      </c>
      <c r="C10" s="473"/>
      <c r="D10" s="458">
        <f>D36</f>
        <v>0</v>
      </c>
      <c r="E10" s="458">
        <f t="shared" ref="E10:I10" si="0">E36</f>
        <v>228.39502152427639</v>
      </c>
      <c r="F10" s="458">
        <f t="shared" si="0"/>
        <v>291.61400088573839</v>
      </c>
      <c r="G10" s="458">
        <f t="shared" si="0"/>
        <v>293.94614419760518</v>
      </c>
      <c r="H10" s="458">
        <f t="shared" si="0"/>
        <v>296.29693850843137</v>
      </c>
      <c r="I10" s="458">
        <f t="shared" si="0"/>
        <v>298.66653297704465</v>
      </c>
      <c r="K10" s="228"/>
      <c r="L10" s="228"/>
      <c r="M10" s="228"/>
      <c r="N10" s="228"/>
      <c r="O10" s="457"/>
      <c r="P10" s="457"/>
      <c r="Q10" s="146"/>
      <c r="R10" s="146"/>
      <c r="S10" s="146"/>
      <c r="T10" s="146"/>
      <c r="U10" s="146"/>
      <c r="V10" s="146"/>
      <c r="W10" s="146"/>
      <c r="X10" s="146"/>
      <c r="Y10" s="146"/>
      <c r="AI10" s="323"/>
      <c r="AJ10" s="323"/>
      <c r="AK10" s="323"/>
      <c r="AL10" s="323"/>
      <c r="AM10" s="323"/>
    </row>
    <row r="11" spans="1:39" ht="14.5" customHeight="1">
      <c r="A11" s="334"/>
      <c r="B11" s="485" t="str">
        <f>B39</f>
        <v>Follow up attendances</v>
      </c>
      <c r="C11" s="473"/>
      <c r="D11" s="458">
        <f>D43</f>
        <v>0</v>
      </c>
      <c r="E11" s="458">
        <f t="shared" ref="E11:I11" si="1">E43</f>
        <v>2512.3452367670402</v>
      </c>
      <c r="F11" s="458">
        <f t="shared" si="1"/>
        <v>3207.7540097431224</v>
      </c>
      <c r="G11" s="458">
        <f t="shared" si="1"/>
        <v>3233.4075861736569</v>
      </c>
      <c r="H11" s="458">
        <f t="shared" si="1"/>
        <v>3259.2663235927448</v>
      </c>
      <c r="I11" s="458">
        <f t="shared" si="1"/>
        <v>3285.331862747491</v>
      </c>
      <c r="K11" s="228"/>
      <c r="L11" s="228"/>
      <c r="M11" s="228"/>
      <c r="N11" s="228"/>
      <c r="O11" s="457"/>
      <c r="P11" s="457"/>
      <c r="Q11" s="146"/>
      <c r="R11" s="146"/>
      <c r="S11" s="146"/>
      <c r="T11" s="146"/>
      <c r="U11" s="146"/>
      <c r="V11" s="146"/>
      <c r="W11" s="146"/>
      <c r="X11" s="146"/>
      <c r="Y11" s="146"/>
      <c r="AI11" s="323"/>
      <c r="AJ11" s="323"/>
      <c r="AK11" s="323"/>
      <c r="AL11" s="323"/>
      <c r="AM11" s="323"/>
    </row>
    <row r="12" spans="1:39" ht="14.5" customHeight="1">
      <c r="A12" s="334"/>
      <c r="B12" s="485" t="s">
        <v>1097</v>
      </c>
      <c r="C12" s="473"/>
      <c r="D12" s="458">
        <f>D49</f>
        <v>0</v>
      </c>
      <c r="E12" s="458">
        <f t="shared" ref="E12:I12" si="2">E49</f>
        <v>2512.3452367670402</v>
      </c>
      <c r="F12" s="458">
        <f t="shared" si="2"/>
        <v>3207.7540097431224</v>
      </c>
      <c r="G12" s="458">
        <f t="shared" si="2"/>
        <v>3233.4075861736569</v>
      </c>
      <c r="H12" s="458">
        <f t="shared" si="2"/>
        <v>3259.2663235927448</v>
      </c>
      <c r="I12" s="458">
        <f t="shared" si="2"/>
        <v>3285.331862747491</v>
      </c>
      <c r="K12" s="228"/>
      <c r="L12" s="228"/>
      <c r="M12" s="228"/>
      <c r="N12" s="228"/>
      <c r="O12" s="457"/>
      <c r="P12" s="457"/>
      <c r="Q12" s="146"/>
      <c r="R12" s="146"/>
      <c r="S12" s="146"/>
      <c r="T12" s="146"/>
      <c r="U12" s="146"/>
      <c r="V12" s="146"/>
      <c r="W12" s="146"/>
      <c r="X12" s="146"/>
      <c r="Y12" s="146"/>
      <c r="AI12" s="323"/>
      <c r="AJ12" s="323"/>
      <c r="AK12" s="323"/>
      <c r="AL12" s="323"/>
      <c r="AM12" s="323"/>
    </row>
    <row r="13" spans="1:39" ht="14.5" customHeight="1">
      <c r="A13" s="334"/>
      <c r="B13" s="485" t="str">
        <f>B52</f>
        <v>Administrations - hospital based</v>
      </c>
      <c r="C13" s="459"/>
      <c r="D13" s="458">
        <f>D55</f>
        <v>0</v>
      </c>
      <c r="E13" s="458">
        <f t="shared" ref="E13:I13" si="3">E55</f>
        <v>1370.3701291456582</v>
      </c>
      <c r="F13" s="458">
        <f t="shared" si="3"/>
        <v>1749.6840053144304</v>
      </c>
      <c r="G13" s="458">
        <f t="shared" si="3"/>
        <v>1763.676865185631</v>
      </c>
      <c r="H13" s="458">
        <f t="shared" si="3"/>
        <v>1777.7816310505882</v>
      </c>
      <c r="I13" s="458">
        <f t="shared" si="3"/>
        <v>1791.9991978622679</v>
      </c>
      <c r="K13" s="329">
        <f>K55</f>
        <v>0</v>
      </c>
      <c r="L13" s="329">
        <f t="shared" ref="L13:P13" si="4">L55</f>
        <v>187.7407076929552</v>
      </c>
      <c r="M13" s="329">
        <f t="shared" si="4"/>
        <v>239.70670872807696</v>
      </c>
      <c r="N13" s="329">
        <f t="shared" si="4"/>
        <v>241.62373053043143</v>
      </c>
      <c r="O13" s="329">
        <f t="shared" si="4"/>
        <v>243.5560834539306</v>
      </c>
      <c r="P13" s="329">
        <f t="shared" si="4"/>
        <v>245.50389010713073</v>
      </c>
      <c r="Q13" s="146"/>
      <c r="R13" s="146"/>
      <c r="S13" s="146"/>
      <c r="T13" s="146"/>
      <c r="U13" s="146"/>
      <c r="V13" s="146"/>
      <c r="W13" s="146"/>
      <c r="X13" s="146"/>
      <c r="Y13" s="146"/>
      <c r="AI13" s="323"/>
      <c r="AJ13" s="323"/>
      <c r="AK13" s="323"/>
      <c r="AL13" s="323"/>
      <c r="AM13" s="323"/>
    </row>
    <row r="14" spans="1:39" ht="14.5" customHeight="1">
      <c r="A14" s="334"/>
      <c r="B14" s="485" t="str">
        <f>B58</f>
        <v xml:space="preserve">Administrations - homecare </v>
      </c>
      <c r="C14" s="459"/>
      <c r="D14" s="458">
        <f>D61</f>
        <v>0</v>
      </c>
      <c r="E14" s="458">
        <f t="shared" ref="E14:I14" si="5">E61</f>
        <v>1256.1726183835201</v>
      </c>
      <c r="F14" s="458">
        <f t="shared" si="5"/>
        <v>1603.8770048715612</v>
      </c>
      <c r="G14" s="458">
        <f t="shared" si="5"/>
        <v>1616.7037930868285</v>
      </c>
      <c r="H14" s="458">
        <f t="shared" si="5"/>
        <v>1629.6331617963724</v>
      </c>
      <c r="I14" s="458">
        <f t="shared" si="5"/>
        <v>1642.6659313737455</v>
      </c>
      <c r="K14" s="228"/>
      <c r="L14" s="228"/>
      <c r="M14" s="228"/>
      <c r="N14" s="228"/>
      <c r="O14" s="457"/>
      <c r="P14" s="457"/>
      <c r="Q14" s="146"/>
      <c r="R14" s="146"/>
      <c r="S14" s="146"/>
      <c r="T14" s="146"/>
      <c r="U14" s="146"/>
      <c r="V14" s="146"/>
      <c r="W14" s="146"/>
      <c r="X14" s="146"/>
      <c r="Y14" s="146"/>
      <c r="AI14" s="323"/>
      <c r="AJ14" s="323"/>
      <c r="AK14" s="323"/>
      <c r="AL14" s="323"/>
      <c r="AM14" s="323"/>
    </row>
    <row r="15" spans="1:39" ht="14.5" customHeight="1">
      <c r="A15" s="334"/>
      <c r="B15" s="485" t="str">
        <f>B64</f>
        <v>Administrations - number of cycles</v>
      </c>
      <c r="C15" s="459"/>
      <c r="D15" s="458">
        <f>D68</f>
        <v>0</v>
      </c>
      <c r="E15" s="458">
        <f t="shared" ref="E15:I15" si="6">E68</f>
        <v>2740.7402582913164</v>
      </c>
      <c r="F15" s="458">
        <f t="shared" si="6"/>
        <v>3499.3680106288607</v>
      </c>
      <c r="G15" s="458">
        <f t="shared" si="6"/>
        <v>3527.3537303712619</v>
      </c>
      <c r="H15" s="458">
        <f t="shared" si="6"/>
        <v>3555.5632621011764</v>
      </c>
      <c r="I15" s="458">
        <f t="shared" si="6"/>
        <v>3583.9983957245358</v>
      </c>
      <c r="K15" s="228"/>
      <c r="L15" s="228"/>
      <c r="M15" s="228"/>
      <c r="N15" s="228"/>
      <c r="O15" s="457"/>
      <c r="P15" s="457"/>
      <c r="Q15" s="146"/>
      <c r="R15" s="146"/>
      <c r="S15" s="146"/>
      <c r="T15" s="146"/>
      <c r="U15" s="146"/>
      <c r="V15" s="146"/>
      <c r="W15" s="146"/>
      <c r="X15" s="146"/>
      <c r="Y15" s="146"/>
      <c r="AI15" s="323"/>
      <c r="AJ15" s="323"/>
      <c r="AK15" s="323"/>
      <c r="AL15" s="323"/>
      <c r="AM15" s="323"/>
    </row>
    <row r="16" spans="1:39" ht="14.5" customHeight="1">
      <c r="A16" s="324"/>
      <c r="B16" s="486" t="str">
        <f>B72</f>
        <v>Administrations - duration of administrations (hours)</v>
      </c>
      <c r="C16" s="491"/>
      <c r="D16" s="460">
        <f t="shared" ref="D16:I16" si="7">D75</f>
        <v>0</v>
      </c>
      <c r="E16" s="460">
        <f t="shared" si="7"/>
        <v>0</v>
      </c>
      <c r="F16" s="460">
        <f t="shared" si="7"/>
        <v>0</v>
      </c>
      <c r="G16" s="460">
        <f t="shared" si="7"/>
        <v>0</v>
      </c>
      <c r="H16" s="460">
        <f t="shared" si="7"/>
        <v>0</v>
      </c>
      <c r="I16" s="460">
        <f t="shared" si="7"/>
        <v>0</v>
      </c>
      <c r="K16" s="228"/>
      <c r="L16" s="228"/>
      <c r="M16" s="228"/>
      <c r="N16" s="228"/>
      <c r="O16" s="457"/>
      <c r="P16" s="457"/>
      <c r="Q16" s="146"/>
      <c r="R16" s="146"/>
      <c r="S16" s="146"/>
      <c r="T16" s="146"/>
      <c r="U16" s="146"/>
      <c r="V16" s="146"/>
      <c r="W16" s="146"/>
      <c r="X16" s="146"/>
      <c r="Y16" s="146"/>
      <c r="AI16" s="323"/>
      <c r="AJ16" s="323"/>
      <c r="AK16" s="323"/>
      <c r="AL16" s="323"/>
      <c r="AM16" s="323"/>
    </row>
    <row r="17" spans="1:39" ht="14.5" customHeight="1">
      <c r="A17" s="324"/>
      <c r="B17" s="486" t="str">
        <f>B78</f>
        <v>Preparation time before administration (hours)</v>
      </c>
      <c r="C17" s="491"/>
      <c r="D17" s="460">
        <f>D81</f>
        <v>0</v>
      </c>
      <c r="E17" s="460">
        <f t="shared" ref="E17:I17" si="8">E81</f>
        <v>0</v>
      </c>
      <c r="F17" s="460">
        <f t="shared" si="8"/>
        <v>0</v>
      </c>
      <c r="G17" s="460">
        <f t="shared" si="8"/>
        <v>0</v>
      </c>
      <c r="H17" s="460">
        <f t="shared" si="8"/>
        <v>0</v>
      </c>
      <c r="I17" s="460">
        <f t="shared" si="8"/>
        <v>0</v>
      </c>
      <c r="K17" s="228"/>
      <c r="L17" s="228"/>
      <c r="M17" s="228"/>
      <c r="N17" s="228"/>
      <c r="O17" s="457"/>
      <c r="P17" s="457"/>
      <c r="Q17" s="146"/>
      <c r="R17" s="146"/>
      <c r="S17" s="146"/>
      <c r="T17" s="146"/>
      <c r="U17" s="146"/>
      <c r="V17" s="146"/>
      <c r="W17" s="146"/>
      <c r="X17" s="146"/>
      <c r="Y17" s="146"/>
      <c r="AI17" s="323"/>
      <c r="AJ17" s="323"/>
      <c r="AK17" s="323"/>
      <c r="AL17" s="323"/>
      <c r="AM17" s="323"/>
    </row>
    <row r="18" spans="1:39" ht="14.5" customHeight="1">
      <c r="A18" s="324"/>
      <c r="B18" s="486" t="str">
        <f>B84</f>
        <v>Post administration nursing time (hours)</v>
      </c>
      <c r="C18" s="491"/>
      <c r="D18" s="460">
        <f>D87</f>
        <v>0</v>
      </c>
      <c r="E18" s="461">
        <f t="shared" ref="E18:I18" si="9">E87</f>
        <v>0</v>
      </c>
      <c r="F18" s="460">
        <f t="shared" si="9"/>
        <v>0</v>
      </c>
      <c r="G18" s="460">
        <f t="shared" si="9"/>
        <v>0</v>
      </c>
      <c r="H18" s="460">
        <f t="shared" si="9"/>
        <v>0</v>
      </c>
      <c r="I18" s="460">
        <f t="shared" si="9"/>
        <v>0</v>
      </c>
      <c r="K18" s="228"/>
      <c r="L18" s="228"/>
      <c r="M18" s="228"/>
      <c r="N18" s="228"/>
      <c r="O18" s="457"/>
      <c r="P18" s="457"/>
      <c r="Q18" s="146"/>
      <c r="R18" s="146"/>
      <c r="S18" s="146"/>
      <c r="T18" s="146"/>
      <c r="U18" s="146"/>
      <c r="V18" s="146"/>
      <c r="W18" s="146"/>
      <c r="X18" s="146"/>
      <c r="Y18" s="146"/>
      <c r="AI18" s="323"/>
      <c r="AJ18" s="323"/>
      <c r="AK18" s="323"/>
      <c r="AL18" s="323"/>
      <c r="AM18" s="323"/>
    </row>
    <row r="19" spans="1:39" ht="14.5" customHeight="1">
      <c r="A19" s="326"/>
      <c r="B19" s="487" t="str">
        <f>B91</f>
        <v>In-house aseptic unit preparations, number made</v>
      </c>
      <c r="C19" s="492"/>
      <c r="D19" s="462">
        <f>D94</f>
        <v>0</v>
      </c>
      <c r="E19" s="462">
        <f t="shared" ref="E19:I19" si="10">E94</f>
        <v>0</v>
      </c>
      <c r="F19" s="462">
        <f t="shared" si="10"/>
        <v>0</v>
      </c>
      <c r="G19" s="462">
        <f t="shared" si="10"/>
        <v>0</v>
      </c>
      <c r="H19" s="462">
        <f t="shared" si="10"/>
        <v>0</v>
      </c>
      <c r="I19" s="462">
        <f t="shared" si="10"/>
        <v>0</v>
      </c>
      <c r="K19" s="228"/>
      <c r="L19" s="228"/>
      <c r="M19" s="228"/>
      <c r="N19" s="228"/>
      <c r="O19" s="457"/>
      <c r="P19" s="457"/>
      <c r="Q19" s="146"/>
      <c r="R19" s="146"/>
      <c r="S19" s="146"/>
      <c r="T19" s="146"/>
      <c r="U19" s="146"/>
      <c r="V19" s="146"/>
      <c r="W19" s="146"/>
      <c r="X19" s="146"/>
      <c r="Y19" s="146"/>
      <c r="AI19" s="323"/>
      <c r="AJ19" s="323"/>
      <c r="AK19" s="323"/>
      <c r="AL19" s="323"/>
      <c r="AM19" s="323"/>
    </row>
    <row r="20" spans="1:39" ht="14.5" customHeight="1">
      <c r="A20" s="326"/>
      <c r="B20" s="487" t="str">
        <f>B97</f>
        <v>Bought-in aseptic unit preparations, number bought in</v>
      </c>
      <c r="C20" s="492"/>
      <c r="D20" s="462">
        <f>D100</f>
        <v>0</v>
      </c>
      <c r="E20" s="462">
        <f t="shared" ref="E20:I20" si="11">E100</f>
        <v>0</v>
      </c>
      <c r="F20" s="462">
        <f t="shared" si="11"/>
        <v>0</v>
      </c>
      <c r="G20" s="462">
        <f t="shared" si="11"/>
        <v>0</v>
      </c>
      <c r="H20" s="462">
        <f t="shared" si="11"/>
        <v>0</v>
      </c>
      <c r="I20" s="462">
        <f t="shared" si="11"/>
        <v>0</v>
      </c>
      <c r="K20" s="228"/>
      <c r="L20" s="228"/>
      <c r="M20" s="228"/>
      <c r="N20" s="228"/>
      <c r="O20" s="457"/>
      <c r="P20" s="457"/>
      <c r="Q20" s="146"/>
      <c r="R20" s="146"/>
      <c r="S20" s="146"/>
      <c r="T20" s="146"/>
      <c r="U20" s="146"/>
      <c r="V20" s="146"/>
      <c r="W20" s="146"/>
      <c r="X20" s="146"/>
      <c r="Y20" s="146"/>
      <c r="AI20" s="323"/>
      <c r="AJ20" s="323"/>
      <c r="AK20" s="323"/>
      <c r="AL20" s="323"/>
      <c r="AM20" s="323"/>
    </row>
    <row r="21" spans="1:39" ht="14.5" customHeight="1">
      <c r="A21" s="326"/>
      <c r="B21" s="487" t="str">
        <f>B103</f>
        <v>In-house aseptic unit preparations, pharmacy time (hours)</v>
      </c>
      <c r="C21" s="492"/>
      <c r="D21" s="462">
        <f>D106</f>
        <v>0</v>
      </c>
      <c r="E21" s="462">
        <f t="shared" ref="E21:I21" si="12">E106</f>
        <v>0</v>
      </c>
      <c r="F21" s="462">
        <f t="shared" si="12"/>
        <v>0</v>
      </c>
      <c r="G21" s="462">
        <f t="shared" si="12"/>
        <v>0</v>
      </c>
      <c r="H21" s="462">
        <f t="shared" si="12"/>
        <v>0</v>
      </c>
      <c r="I21" s="462">
        <f t="shared" si="12"/>
        <v>0</v>
      </c>
      <c r="K21" s="228"/>
      <c r="L21" s="228"/>
      <c r="M21" s="228"/>
      <c r="N21" s="228"/>
      <c r="O21" s="457"/>
      <c r="P21" s="457"/>
      <c r="Q21" s="146"/>
      <c r="R21" s="146"/>
      <c r="S21" s="146"/>
      <c r="T21" s="146"/>
      <c r="U21" s="146"/>
      <c r="V21" s="146"/>
      <c r="W21" s="146"/>
      <c r="X21" s="146"/>
      <c r="Y21" s="146"/>
      <c r="AI21" s="323"/>
      <c r="AJ21" s="323"/>
      <c r="AK21" s="323"/>
      <c r="AL21" s="323"/>
      <c r="AM21" s="323"/>
    </row>
    <row r="22" spans="1:39" ht="14.5" customHeight="1">
      <c r="A22" s="326"/>
      <c r="B22" s="487" t="str">
        <f>B109</f>
        <v>Bought-in aseptic unit preparations, pharmacy time (hours)</v>
      </c>
      <c r="C22" s="492"/>
      <c r="D22" s="462">
        <f>D112</f>
        <v>0</v>
      </c>
      <c r="E22" s="462">
        <f t="shared" ref="E22:I22" si="13">E112</f>
        <v>0</v>
      </c>
      <c r="F22" s="462">
        <f t="shared" si="13"/>
        <v>0</v>
      </c>
      <c r="G22" s="462">
        <f t="shared" si="13"/>
        <v>0</v>
      </c>
      <c r="H22" s="462">
        <f t="shared" si="13"/>
        <v>0</v>
      </c>
      <c r="I22" s="462">
        <f t="shared" si="13"/>
        <v>0</v>
      </c>
      <c r="K22" s="228"/>
      <c r="L22" s="228"/>
      <c r="M22" s="228"/>
      <c r="N22" s="228"/>
      <c r="O22" s="457"/>
      <c r="P22" s="457"/>
      <c r="Q22" s="146"/>
      <c r="R22" s="146"/>
      <c r="S22" s="146"/>
      <c r="T22" s="146"/>
      <c r="U22" s="146"/>
      <c r="V22" s="146"/>
      <c r="W22" s="146"/>
      <c r="X22" s="146"/>
      <c r="Y22" s="146"/>
      <c r="AI22" s="323"/>
      <c r="AJ22" s="323"/>
      <c r="AK22" s="323"/>
      <c r="AL22" s="323"/>
      <c r="AM22" s="323"/>
    </row>
    <row r="23" spans="1:39" ht="14.5" customHeight="1">
      <c r="A23" s="326"/>
      <c r="B23" s="487" t="str">
        <f>B115</f>
        <v>Drug regimen prep (hours)</v>
      </c>
      <c r="C23" s="492"/>
      <c r="D23" s="462">
        <f>D118</f>
        <v>0</v>
      </c>
      <c r="E23" s="462">
        <f t="shared" ref="E23:I23" si="14">E118</f>
        <v>114.19751076213819</v>
      </c>
      <c r="F23" s="462">
        <f t="shared" si="14"/>
        <v>145.8070004428692</v>
      </c>
      <c r="G23" s="462">
        <f t="shared" si="14"/>
        <v>146.97307209880262</v>
      </c>
      <c r="H23" s="462">
        <f t="shared" si="14"/>
        <v>148.14846925421568</v>
      </c>
      <c r="I23" s="462">
        <f t="shared" si="14"/>
        <v>149.33326648852233</v>
      </c>
      <c r="K23" s="228"/>
      <c r="L23" s="228"/>
      <c r="M23" s="228"/>
      <c r="N23" s="228"/>
      <c r="O23" s="457"/>
      <c r="P23" s="457"/>
      <c r="Q23" s="146"/>
      <c r="R23" s="146"/>
      <c r="S23" s="146"/>
      <c r="T23" s="146"/>
      <c r="U23" s="146"/>
      <c r="V23" s="146"/>
      <c r="W23" s="146"/>
      <c r="X23" s="146"/>
      <c r="Y23" s="146"/>
      <c r="AI23" s="323"/>
      <c r="AJ23" s="323"/>
      <c r="AK23" s="323"/>
      <c r="AL23" s="323"/>
      <c r="AM23" s="323"/>
    </row>
    <row r="24" spans="1:39" ht="14.5" customHeight="1">
      <c r="A24" s="325"/>
      <c r="B24" s="488" t="str">
        <f>B122</f>
        <v>Appointments with specialist</v>
      </c>
      <c r="C24" s="493"/>
      <c r="D24" s="465">
        <f>D125</f>
        <v>0</v>
      </c>
      <c r="E24" s="465">
        <f t="shared" ref="E24:I24" si="15">E125</f>
        <v>2740.7402582913164</v>
      </c>
      <c r="F24" s="465">
        <f t="shared" si="15"/>
        <v>3499.3680106288607</v>
      </c>
      <c r="G24" s="465">
        <f t="shared" si="15"/>
        <v>3527.3537303712619</v>
      </c>
      <c r="H24" s="465">
        <f t="shared" si="15"/>
        <v>3555.5632621011764</v>
      </c>
      <c r="I24" s="465">
        <f t="shared" si="15"/>
        <v>3583.9983957245358</v>
      </c>
      <c r="K24" s="329">
        <f>K125</f>
        <v>0</v>
      </c>
      <c r="L24" s="329">
        <f t="shared" ref="L24:P24" si="16">L125</f>
        <v>394.66659719394954</v>
      </c>
      <c r="M24" s="329">
        <f t="shared" si="16"/>
        <v>503.9089935305559</v>
      </c>
      <c r="N24" s="329">
        <f t="shared" si="16"/>
        <v>507.93893717346174</v>
      </c>
      <c r="O24" s="329">
        <f t="shared" si="16"/>
        <v>512.00110974256938</v>
      </c>
      <c r="P24" s="329">
        <f t="shared" si="16"/>
        <v>516.09576898433318</v>
      </c>
      <c r="Q24" s="146"/>
      <c r="R24" s="146"/>
      <c r="S24" s="146"/>
      <c r="T24" s="146"/>
      <c r="U24" s="146"/>
      <c r="V24" s="146"/>
      <c r="W24" s="146"/>
      <c r="X24" s="146"/>
      <c r="Y24" s="146"/>
      <c r="AI24" s="323"/>
      <c r="AJ24" s="323"/>
      <c r="AK24" s="323"/>
      <c r="AL24" s="323"/>
      <c r="AM24" s="323"/>
    </row>
    <row r="25" spans="1:39" ht="14.5" customHeight="1">
      <c r="A25" s="327"/>
      <c r="B25" s="489" t="str">
        <f>B129</f>
        <v>Blood monitoring</v>
      </c>
      <c r="C25" s="494"/>
      <c r="D25" s="466">
        <f>D132</f>
        <v>0</v>
      </c>
      <c r="E25" s="466">
        <f t="shared" ref="E25:I25" si="17">E132</f>
        <v>2740.7402582913164</v>
      </c>
      <c r="F25" s="466">
        <f t="shared" si="17"/>
        <v>3499.3680106288607</v>
      </c>
      <c r="G25" s="466">
        <f t="shared" si="17"/>
        <v>3527.3537303712619</v>
      </c>
      <c r="H25" s="466">
        <f t="shared" si="17"/>
        <v>3555.5632621011764</v>
      </c>
      <c r="I25" s="466">
        <f t="shared" si="17"/>
        <v>3583.9983957245358</v>
      </c>
      <c r="K25" s="329">
        <f>K132</f>
        <v>0</v>
      </c>
      <c r="L25" s="329">
        <f t="shared" ref="L25:P25" si="18">L132</f>
        <v>6.5503692173162467</v>
      </c>
      <c r="M25" s="329">
        <f t="shared" si="18"/>
        <v>8.3634895454029774</v>
      </c>
      <c r="N25" s="329">
        <f t="shared" si="18"/>
        <v>8.4303754155873154</v>
      </c>
      <c r="O25" s="329">
        <f t="shared" si="18"/>
        <v>8.4977961964218114</v>
      </c>
      <c r="P25" s="329">
        <f t="shared" si="18"/>
        <v>8.5657561657816412</v>
      </c>
      <c r="Q25" s="146"/>
      <c r="R25" s="146"/>
      <c r="S25" s="146"/>
      <c r="T25" s="146"/>
      <c r="U25" s="146"/>
      <c r="V25" s="146"/>
      <c r="W25" s="146"/>
      <c r="X25" s="146"/>
      <c r="Y25" s="146"/>
      <c r="AI25" s="323"/>
      <c r="AJ25" s="323"/>
      <c r="AK25" s="323"/>
      <c r="AL25" s="323"/>
      <c r="AM25" s="323"/>
    </row>
    <row r="26" spans="1:39" ht="14.5" customHeight="1">
      <c r="A26" s="328"/>
      <c r="B26" s="490" t="str">
        <f>B136</f>
        <v>Adverse events, various (cases)</v>
      </c>
      <c r="C26" s="472"/>
      <c r="D26" s="467">
        <f>D141</f>
        <v>0</v>
      </c>
      <c r="E26" s="467">
        <f t="shared" ref="E26:I26" si="19">E141</f>
        <v>153.25305944278946</v>
      </c>
      <c r="F26" s="467">
        <f t="shared" si="19"/>
        <v>195.67299459433048</v>
      </c>
      <c r="G26" s="467">
        <f t="shared" si="19"/>
        <v>197.23786275659307</v>
      </c>
      <c r="H26" s="467">
        <f t="shared" si="19"/>
        <v>198.81524573915746</v>
      </c>
      <c r="I26" s="467">
        <f t="shared" si="19"/>
        <v>200.40524362759697</v>
      </c>
      <c r="J26" s="146"/>
      <c r="K26" s="329">
        <f>K141</f>
        <v>0</v>
      </c>
      <c r="L26" s="329">
        <f>L141</f>
        <v>50.988503370230127</v>
      </c>
      <c r="M26" s="329">
        <f t="shared" ref="M26:P26" si="20">M141</f>
        <v>65.101950855738437</v>
      </c>
      <c r="N26" s="329">
        <f t="shared" si="20"/>
        <v>65.622594853682756</v>
      </c>
      <c r="O26" s="329">
        <f t="shared" si="20"/>
        <v>66.147402631191781</v>
      </c>
      <c r="P26" s="329">
        <f t="shared" si="20"/>
        <v>66.676407487526291</v>
      </c>
      <c r="Q26" s="146"/>
      <c r="R26" s="146"/>
      <c r="S26" s="146"/>
      <c r="T26" s="146"/>
      <c r="U26" s="146"/>
      <c r="V26" s="146"/>
      <c r="W26" s="146"/>
      <c r="X26" s="146"/>
      <c r="Y26" s="146"/>
    </row>
    <row r="27" spans="1:39" ht="14.5" customHeight="1">
      <c r="B27" s="280"/>
      <c r="D27" s="323"/>
      <c r="F27" s="146"/>
      <c r="G27" s="146"/>
      <c r="H27" s="146"/>
      <c r="I27" s="146"/>
      <c r="J27" s="146"/>
      <c r="K27" s="330">
        <f t="shared" ref="K27:P27" si="21">SUM(K10:K26)</f>
        <v>0</v>
      </c>
      <c r="L27" s="330">
        <f t="shared" si="21"/>
        <v>639.94617747445113</v>
      </c>
      <c r="M27" s="330">
        <f t="shared" si="21"/>
        <v>817.08114265977429</v>
      </c>
      <c r="N27" s="330">
        <f t="shared" si="21"/>
        <v>823.61563797316308</v>
      </c>
      <c r="O27" s="330">
        <f t="shared" si="21"/>
        <v>830.20239202411358</v>
      </c>
      <c r="P27" s="330">
        <f t="shared" si="21"/>
        <v>836.84182274477178</v>
      </c>
      <c r="Q27" s="146"/>
      <c r="R27" s="146"/>
      <c r="S27" s="146"/>
      <c r="T27" s="146"/>
      <c r="U27" s="146"/>
      <c r="V27" s="146"/>
      <c r="W27" s="146"/>
      <c r="X27" s="146"/>
      <c r="Y27" s="146"/>
    </row>
    <row r="28" spans="1:39"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O28" s="146"/>
      <c r="P28" s="146"/>
      <c r="Q28" s="146"/>
      <c r="R28" s="146"/>
      <c r="U28" s="146"/>
      <c r="V28" s="146"/>
      <c r="W28" s="146"/>
      <c r="X28" s="146"/>
      <c r="Y28" s="146"/>
      <c r="AI28" s="323"/>
      <c r="AJ28" s="323"/>
      <c r="AK28" s="323"/>
      <c r="AL28" s="323"/>
      <c r="AM28" s="323"/>
    </row>
    <row r="29" spans="1:39">
      <c r="B29" s="417" t="s">
        <v>852</v>
      </c>
      <c r="C29" s="418"/>
      <c r="D29" s="418"/>
      <c r="E29" s="419"/>
      <c r="F29" s="418"/>
      <c r="G29" s="420"/>
      <c r="H29" s="421"/>
      <c r="I29" s="421"/>
      <c r="J29" s="421"/>
      <c r="K29" s="421"/>
      <c r="L29" s="421"/>
      <c r="M29" s="421"/>
      <c r="N29" s="421"/>
      <c r="O29" s="421"/>
      <c r="P29" s="422"/>
      <c r="Q29" s="146"/>
      <c r="R29" s="146"/>
      <c r="S29" s="146"/>
      <c r="T29" s="146"/>
      <c r="U29" s="146"/>
      <c r="V29" s="146"/>
      <c r="W29" s="146"/>
      <c r="X29" s="146"/>
      <c r="Y29" s="146"/>
      <c r="AI29" s="323"/>
      <c r="AJ29" s="323"/>
      <c r="AK29" s="323"/>
      <c r="AL29" s="323"/>
      <c r="AM29" s="323"/>
    </row>
    <row r="30" spans="1:39">
      <c r="A30" s="334"/>
      <c r="B30" s="367"/>
      <c r="C30" s="339"/>
      <c r="D30" s="340"/>
      <c r="E30" s="341"/>
      <c r="F30" s="334"/>
      <c r="G30" s="334"/>
      <c r="H30" s="237"/>
      <c r="I30" s="237"/>
      <c r="J30" s="237"/>
      <c r="K30" s="237"/>
      <c r="L30" s="237"/>
      <c r="M30" s="237"/>
      <c r="N30" s="237"/>
      <c r="O30" s="237"/>
      <c r="P30" s="237"/>
      <c r="Q30" s="146"/>
      <c r="R30" s="146"/>
      <c r="S30" s="146"/>
      <c r="T30" s="146"/>
      <c r="U30" s="146"/>
      <c r="V30" s="146"/>
      <c r="W30" s="146"/>
      <c r="X30" s="146"/>
      <c r="Y30" s="146"/>
      <c r="AI30" s="323"/>
      <c r="AJ30" s="323"/>
      <c r="AK30" s="323"/>
      <c r="AL30" s="323"/>
      <c r="AM30" s="323"/>
    </row>
    <row r="31" spans="1:39">
      <c r="A31" s="334"/>
      <c r="B31" s="366" t="s">
        <v>853</v>
      </c>
      <c r="C31" s="335"/>
      <c r="D31" s="335"/>
      <c r="E31" s="336"/>
      <c r="F31" s="337"/>
      <c r="G31" s="338"/>
      <c r="H31" s="338"/>
      <c r="I31" s="473"/>
      <c r="J31" s="474"/>
      <c r="K31" s="334"/>
      <c r="L31" s="334"/>
      <c r="M31" s="334"/>
      <c r="N31" s="334"/>
      <c r="O31" s="334"/>
      <c r="P31" s="237"/>
      <c r="Q31" s="146"/>
      <c r="R31" s="146"/>
      <c r="U31" s="146"/>
    </row>
    <row r="32" spans="1:39">
      <c r="A32" s="342"/>
      <c r="B32" s="431" t="s">
        <v>211</v>
      </c>
      <c r="C32" s="432"/>
      <c r="D32" s="432"/>
      <c r="E32" s="432"/>
      <c r="F32" s="432"/>
      <c r="G32" s="432"/>
      <c r="H32" s="432"/>
      <c r="I32" s="236"/>
      <c r="J32" s="237"/>
      <c r="K32" s="237"/>
      <c r="L32" s="237"/>
      <c r="M32" s="237"/>
      <c r="N32" s="237"/>
      <c r="O32" s="237"/>
      <c r="P32" s="237"/>
      <c r="Q32" s="146"/>
      <c r="R32" s="146"/>
      <c r="S32" s="146"/>
      <c r="T32" s="146"/>
      <c r="U32" s="146"/>
      <c r="V32" s="146"/>
      <c r="W32" s="146"/>
      <c r="X32" s="146"/>
      <c r="Y32" s="146"/>
      <c r="AI32" s="323"/>
      <c r="AJ32" s="323"/>
      <c r="AK32" s="323"/>
      <c r="AL32" s="323"/>
      <c r="AM32" s="323"/>
    </row>
    <row r="33" spans="1:39" ht="43.5">
      <c r="A33" s="342"/>
      <c r="B33" s="364" t="s">
        <v>160</v>
      </c>
      <c r="C33" s="182" t="s">
        <v>854</v>
      </c>
      <c r="D33" s="463" t="s">
        <v>841</v>
      </c>
      <c r="E33" s="292" t="s">
        <v>60</v>
      </c>
      <c r="F33" s="292" t="s">
        <v>61</v>
      </c>
      <c r="G33" s="181" t="s">
        <v>62</v>
      </c>
      <c r="H33" s="181" t="s">
        <v>843</v>
      </c>
      <c r="I33" s="292" t="s">
        <v>844</v>
      </c>
      <c r="J33" s="468"/>
      <c r="K33" s="237"/>
      <c r="L33" s="237"/>
      <c r="M33" s="237"/>
      <c r="N33" s="237"/>
      <c r="O33" s="237"/>
      <c r="P33" s="237"/>
      <c r="Q33" s="146"/>
      <c r="R33" s="146"/>
      <c r="S33" s="146"/>
      <c r="T33" s="146"/>
      <c r="U33" s="146"/>
      <c r="V33" s="146"/>
      <c r="W33" s="146"/>
      <c r="X33" s="146"/>
      <c r="Y33" s="146"/>
      <c r="AI33" s="323"/>
      <c r="AJ33" s="323"/>
      <c r="AK33" s="323"/>
      <c r="AL33" s="323"/>
      <c r="AM33" s="323"/>
    </row>
    <row r="34" spans="1:39">
      <c r="A34" s="342"/>
      <c r="B34" s="391" t="s">
        <v>1072</v>
      </c>
      <c r="C34" s="165">
        <f>'Inputs and eligible population'!F70</f>
        <v>1</v>
      </c>
      <c r="D34" s="141">
        <f>'Financial impact (cash)'!D13*'Capacity (national prices)'!$C$34</f>
        <v>0</v>
      </c>
      <c r="E34" s="141">
        <f>'Financial impact (cash)'!E13*'Capacity (national prices)'!$C$34</f>
        <v>114.19751076213819</v>
      </c>
      <c r="F34" s="141">
        <f>'Financial impact (cash)'!F13*'Capacity (national prices)'!$C$34</f>
        <v>145.8070004428692</v>
      </c>
      <c r="G34" s="141">
        <f>'Financial impact (cash)'!G13*'Capacity (national prices)'!$C$34</f>
        <v>146.97307209880259</v>
      </c>
      <c r="H34" s="141">
        <f>'Financial impact (cash)'!H13*'Capacity (national prices)'!$C$34</f>
        <v>148.14846925421568</v>
      </c>
      <c r="I34" s="141">
        <f>'Financial impact (cash)'!I13*'Capacity (national prices)'!$C$34</f>
        <v>149.33326648852233</v>
      </c>
      <c r="J34" s="468"/>
      <c r="K34" s="237"/>
      <c r="L34" s="237"/>
      <c r="M34" s="237"/>
      <c r="N34" s="237"/>
      <c r="O34" s="237"/>
      <c r="P34" s="237"/>
      <c r="Q34" s="146"/>
      <c r="R34" s="146"/>
      <c r="S34" s="146"/>
      <c r="T34" s="146"/>
      <c r="U34" s="146"/>
      <c r="V34" s="146"/>
      <c r="W34" s="146"/>
      <c r="X34" s="146"/>
      <c r="Y34" s="146"/>
      <c r="AI34" s="323"/>
      <c r="AJ34" s="323"/>
      <c r="AK34" s="323"/>
      <c r="AL34" s="323"/>
      <c r="AM34" s="323"/>
    </row>
    <row r="35" spans="1:39">
      <c r="A35" s="342"/>
      <c r="B35" s="391" t="s">
        <v>1073</v>
      </c>
      <c r="C35" s="165">
        <f>C34</f>
        <v>1</v>
      </c>
      <c r="D35" s="141">
        <f>'Financial impact (cash)'!D14*'Capacity (national prices)'!$C$35</f>
        <v>0</v>
      </c>
      <c r="E35" s="141">
        <f>'Financial impact (cash)'!E14*'Capacity (national prices)'!$C$35</f>
        <v>114.19751076213819</v>
      </c>
      <c r="F35" s="141">
        <f>'Financial impact (cash)'!F14*'Capacity (national prices)'!$C$35</f>
        <v>145.8070004428692</v>
      </c>
      <c r="G35" s="141">
        <f>'Financial impact (cash)'!G14*'Capacity (national prices)'!$C$35</f>
        <v>146.97307209880259</v>
      </c>
      <c r="H35" s="141">
        <f>'Financial impact (cash)'!H14*'Capacity (national prices)'!$C$35</f>
        <v>148.14846925421568</v>
      </c>
      <c r="I35" s="141">
        <f>'Financial impact (cash)'!I14*'Capacity (national prices)'!$C$35</f>
        <v>149.33326648852233</v>
      </c>
      <c r="J35" s="468"/>
      <c r="K35" s="237"/>
      <c r="L35" s="237"/>
      <c r="M35" s="237"/>
      <c r="N35" s="237"/>
      <c r="O35" s="237"/>
      <c r="P35" s="237"/>
      <c r="Q35" s="146"/>
      <c r="R35" s="146"/>
      <c r="S35" s="146"/>
      <c r="T35" s="146"/>
      <c r="U35" s="146"/>
      <c r="V35" s="146"/>
      <c r="W35" s="146"/>
      <c r="X35" s="146"/>
      <c r="Y35" s="146"/>
      <c r="AI35" s="323"/>
      <c r="AJ35" s="323"/>
      <c r="AK35" s="323"/>
      <c r="AL35" s="323"/>
      <c r="AM35" s="323"/>
    </row>
    <row r="36" spans="1:39">
      <c r="A36" s="342"/>
      <c r="B36" s="604"/>
      <c r="C36" s="320"/>
      <c r="D36" s="205">
        <f t="shared" ref="D36:I36" si="22">SUM(D34:D35)</f>
        <v>0</v>
      </c>
      <c r="E36" s="205">
        <f t="shared" si="22"/>
        <v>228.39502152427639</v>
      </c>
      <c r="F36" s="205">
        <f t="shared" si="22"/>
        <v>291.61400088573839</v>
      </c>
      <c r="G36" s="205">
        <f t="shared" si="22"/>
        <v>293.94614419760518</v>
      </c>
      <c r="H36" s="205">
        <f t="shared" si="22"/>
        <v>296.29693850843137</v>
      </c>
      <c r="I36" s="205">
        <f t="shared" si="22"/>
        <v>298.66653297704465</v>
      </c>
      <c r="J36" s="468"/>
      <c r="K36" s="237"/>
      <c r="L36" s="237"/>
      <c r="M36" s="237"/>
      <c r="N36" s="237"/>
      <c r="O36" s="237"/>
      <c r="P36" s="237"/>
      <c r="Q36" s="146"/>
      <c r="R36" s="146"/>
      <c r="S36" s="146"/>
      <c r="T36" s="146"/>
      <c r="U36" s="146"/>
      <c r="V36" s="146"/>
      <c r="W36" s="146"/>
      <c r="X36" s="146"/>
      <c r="Y36" s="146"/>
      <c r="AI36" s="323"/>
      <c r="AJ36" s="323"/>
      <c r="AK36" s="323"/>
      <c r="AL36" s="323"/>
      <c r="AM36" s="323"/>
    </row>
    <row r="37" spans="1:39">
      <c r="A37" s="342"/>
      <c r="B37" s="293"/>
      <c r="C37" s="293"/>
      <c r="D37" s="322" t="s">
        <v>855</v>
      </c>
      <c r="E37" s="205">
        <f>E36-$D$36</f>
        <v>228.39502152427639</v>
      </c>
      <c r="F37" s="205">
        <f>F36-$D$36</f>
        <v>291.61400088573839</v>
      </c>
      <c r="G37" s="205">
        <f>G36-$D$36</f>
        <v>293.94614419760518</v>
      </c>
      <c r="H37" s="205">
        <f>H36-$D$36</f>
        <v>296.29693850843137</v>
      </c>
      <c r="I37" s="205">
        <f>I36-$D$36</f>
        <v>298.66653297704465</v>
      </c>
      <c r="J37" s="468"/>
      <c r="K37" s="237"/>
      <c r="L37" s="237"/>
      <c r="M37" s="237"/>
      <c r="N37" s="237"/>
      <c r="O37" s="237"/>
      <c r="P37" s="237"/>
      <c r="Q37" s="146"/>
      <c r="R37" s="146"/>
      <c r="S37" s="146"/>
      <c r="T37" s="146"/>
      <c r="U37" s="146"/>
      <c r="V37" s="146"/>
      <c r="W37" s="146"/>
      <c r="X37" s="146"/>
      <c r="Y37" s="146"/>
      <c r="AI37" s="323"/>
      <c r="AJ37" s="323"/>
      <c r="AK37" s="323"/>
      <c r="AL37" s="323"/>
      <c r="AM37" s="323"/>
    </row>
    <row r="38" spans="1:39">
      <c r="A38" s="334"/>
      <c r="B38" s="367"/>
      <c r="C38" s="339"/>
      <c r="D38" s="340"/>
      <c r="E38" s="341"/>
      <c r="F38" s="334"/>
      <c r="G38" s="334"/>
      <c r="H38" s="334"/>
      <c r="I38" s="338"/>
      <c r="J38" s="237"/>
      <c r="K38" s="237"/>
      <c r="L38" s="237"/>
      <c r="M38" s="237"/>
      <c r="N38" s="237"/>
      <c r="O38" s="237"/>
      <c r="P38" s="237"/>
      <c r="Q38" s="146"/>
      <c r="R38" s="146"/>
      <c r="S38" s="146"/>
      <c r="T38" s="146"/>
      <c r="U38" s="146"/>
      <c r="V38" s="146"/>
      <c r="W38" s="146"/>
      <c r="X38" s="146"/>
      <c r="Y38" s="146"/>
      <c r="AI38" s="323"/>
      <c r="AJ38" s="323"/>
      <c r="AK38" s="323"/>
      <c r="AL38" s="323"/>
      <c r="AM38" s="323"/>
    </row>
    <row r="39" spans="1:39">
      <c r="A39" s="334"/>
      <c r="B39" s="605" t="s">
        <v>212</v>
      </c>
      <c r="C39" s="432"/>
      <c r="D39" s="432"/>
      <c r="E39" s="432"/>
      <c r="F39" s="432"/>
      <c r="G39" s="432"/>
      <c r="H39" s="432"/>
      <c r="I39" s="236"/>
      <c r="J39" s="237"/>
      <c r="K39" s="237"/>
      <c r="L39" s="237"/>
      <c r="M39" s="237"/>
      <c r="N39" s="237"/>
      <c r="O39" s="237"/>
      <c r="P39" s="237"/>
      <c r="Q39" s="146"/>
      <c r="R39" s="146"/>
      <c r="S39" s="146"/>
      <c r="T39" s="146"/>
      <c r="U39" s="146"/>
      <c r="V39" s="146"/>
      <c r="W39" s="146"/>
      <c r="X39" s="146"/>
      <c r="Y39" s="146"/>
      <c r="AI39" s="323"/>
      <c r="AJ39" s="323"/>
      <c r="AK39" s="323"/>
      <c r="AL39" s="323"/>
      <c r="AM39" s="323"/>
    </row>
    <row r="40" spans="1:39" ht="43.5">
      <c r="A40" s="334"/>
      <c r="B40" s="316" t="s">
        <v>160</v>
      </c>
      <c r="C40" s="182" t="s">
        <v>854</v>
      </c>
      <c r="D40" s="463" t="s">
        <v>841</v>
      </c>
      <c r="E40" s="292" t="s">
        <v>60</v>
      </c>
      <c r="F40" s="292" t="s">
        <v>61</v>
      </c>
      <c r="G40" s="181" t="s">
        <v>62</v>
      </c>
      <c r="H40" s="181" t="s">
        <v>843</v>
      </c>
      <c r="I40" s="292" t="s">
        <v>844</v>
      </c>
      <c r="J40" s="237"/>
      <c r="K40" s="237"/>
      <c r="L40" s="237"/>
      <c r="M40" s="237"/>
      <c r="N40" s="237"/>
      <c r="O40" s="237"/>
      <c r="P40" s="237"/>
      <c r="Q40" s="146"/>
      <c r="R40" s="146"/>
      <c r="S40" s="146"/>
      <c r="T40" s="146"/>
      <c r="U40" s="146"/>
      <c r="V40" s="146"/>
      <c r="W40" s="146"/>
      <c r="X40" s="146"/>
      <c r="Y40" s="146"/>
      <c r="AI40" s="323"/>
      <c r="AJ40" s="323"/>
      <c r="AK40" s="323"/>
      <c r="AL40" s="323"/>
      <c r="AM40" s="323"/>
    </row>
    <row r="41" spans="1:39">
      <c r="A41" s="334"/>
      <c r="B41" s="391" t="s">
        <v>1072</v>
      </c>
      <c r="C41" s="165">
        <f>'Inputs and eligible population'!F71</f>
        <v>11</v>
      </c>
      <c r="D41" s="141">
        <f>'Financial impact (cash)'!D13*$C$41</f>
        <v>0</v>
      </c>
      <c r="E41" s="141">
        <f>'Financial impact (cash)'!E13*$C$41</f>
        <v>1256.1726183835201</v>
      </c>
      <c r="F41" s="141">
        <f>'Financial impact (cash)'!F13*$C$41</f>
        <v>1603.8770048715612</v>
      </c>
      <c r="G41" s="141">
        <f>'Financial impact (cash)'!G13*$C$41</f>
        <v>1616.7037930868285</v>
      </c>
      <c r="H41" s="141">
        <f>'Financial impact (cash)'!H13*$C$41</f>
        <v>1629.6331617963724</v>
      </c>
      <c r="I41" s="141">
        <f>'Financial impact (cash)'!I13*$C$41</f>
        <v>1642.6659313737455</v>
      </c>
      <c r="J41" s="237"/>
      <c r="K41" s="237"/>
      <c r="L41" s="237"/>
      <c r="M41" s="237"/>
      <c r="N41" s="237"/>
      <c r="O41" s="237"/>
      <c r="P41" s="237"/>
      <c r="Q41" s="146"/>
      <c r="R41" s="146"/>
      <c r="S41" s="146"/>
      <c r="T41" s="146"/>
      <c r="U41" s="146"/>
      <c r="V41" s="146"/>
      <c r="W41" s="146"/>
      <c r="X41" s="146"/>
      <c r="Y41" s="146"/>
      <c r="AI41" s="323"/>
      <c r="AJ41" s="323"/>
      <c r="AK41" s="323"/>
      <c r="AL41" s="323"/>
      <c r="AM41" s="323"/>
    </row>
    <row r="42" spans="1:39">
      <c r="A42" s="334"/>
      <c r="B42" s="391" t="s">
        <v>1073</v>
      </c>
      <c r="C42" s="165">
        <f>C41</f>
        <v>11</v>
      </c>
      <c r="D42" s="141">
        <f>'Financial impact (cash)'!D14*$C$42</f>
        <v>0</v>
      </c>
      <c r="E42" s="141">
        <f>'Financial impact (cash)'!E14*$C$42</f>
        <v>1256.1726183835201</v>
      </c>
      <c r="F42" s="141">
        <f>'Financial impact (cash)'!F14*$C$42</f>
        <v>1603.8770048715612</v>
      </c>
      <c r="G42" s="141">
        <f>'Financial impact (cash)'!G14*$C$42</f>
        <v>1616.7037930868285</v>
      </c>
      <c r="H42" s="141">
        <f>'Financial impact (cash)'!H14*$C$42</f>
        <v>1629.6331617963724</v>
      </c>
      <c r="I42" s="141">
        <f>'Financial impact (cash)'!I14*$C$42</f>
        <v>1642.6659313737455</v>
      </c>
      <c r="J42" s="237"/>
      <c r="K42" s="237"/>
      <c r="L42" s="237"/>
      <c r="M42" s="237"/>
      <c r="N42" s="237"/>
      <c r="O42" s="237"/>
      <c r="P42" s="237"/>
      <c r="Q42" s="146"/>
      <c r="R42" s="146"/>
      <c r="S42" s="146"/>
      <c r="T42" s="146"/>
      <c r="U42" s="146"/>
      <c r="V42" s="146"/>
      <c r="W42" s="146"/>
      <c r="X42" s="146"/>
      <c r="Y42" s="146"/>
      <c r="AI42" s="323"/>
      <c r="AJ42" s="323"/>
      <c r="AK42" s="323"/>
      <c r="AL42" s="323"/>
      <c r="AM42" s="323"/>
    </row>
    <row r="43" spans="1:39">
      <c r="A43" s="334"/>
      <c r="B43" s="317"/>
      <c r="C43" s="320"/>
      <c r="D43" s="205">
        <f t="shared" ref="D43:I43" si="23">SUM(D41:D42)</f>
        <v>0</v>
      </c>
      <c r="E43" s="205">
        <f t="shared" si="23"/>
        <v>2512.3452367670402</v>
      </c>
      <c r="F43" s="205">
        <f t="shared" si="23"/>
        <v>3207.7540097431224</v>
      </c>
      <c r="G43" s="205">
        <f t="shared" si="23"/>
        <v>3233.4075861736569</v>
      </c>
      <c r="H43" s="205">
        <f t="shared" si="23"/>
        <v>3259.2663235927448</v>
      </c>
      <c r="I43" s="205">
        <f t="shared" si="23"/>
        <v>3285.331862747491</v>
      </c>
      <c r="J43" s="237"/>
      <c r="K43" s="237"/>
      <c r="L43" s="237"/>
      <c r="M43" s="237"/>
      <c r="N43" s="237"/>
      <c r="O43" s="237"/>
      <c r="P43" s="237"/>
      <c r="Q43" s="146"/>
      <c r="R43" s="146"/>
      <c r="S43" s="146"/>
      <c r="T43" s="146"/>
      <c r="U43" s="146"/>
      <c r="V43" s="146"/>
      <c r="W43" s="146"/>
      <c r="X43" s="146"/>
      <c r="Y43" s="146"/>
      <c r="AI43" s="323"/>
      <c r="AJ43" s="323"/>
      <c r="AK43" s="323"/>
      <c r="AL43" s="323"/>
      <c r="AM43" s="323"/>
    </row>
    <row r="44" spans="1:39">
      <c r="A44" s="334"/>
      <c r="B44" s="348"/>
      <c r="C44" s="293"/>
      <c r="D44" s="322" t="s">
        <v>855</v>
      </c>
      <c r="E44" s="205">
        <f>E43-$D$43</f>
        <v>2512.3452367670402</v>
      </c>
      <c r="F44" s="205">
        <f t="shared" ref="F44:I44" si="24">F43-$D$43</f>
        <v>3207.7540097431224</v>
      </c>
      <c r="G44" s="205">
        <f t="shared" si="24"/>
        <v>3233.4075861736569</v>
      </c>
      <c r="H44" s="205">
        <f t="shared" si="24"/>
        <v>3259.2663235927448</v>
      </c>
      <c r="I44" s="205">
        <f t="shared" si="24"/>
        <v>3285.331862747491</v>
      </c>
      <c r="J44" s="237"/>
      <c r="K44" s="237"/>
      <c r="L44" s="237"/>
      <c r="M44" s="237"/>
      <c r="N44" s="237"/>
      <c r="O44" s="237"/>
      <c r="P44" s="237"/>
      <c r="Q44" s="146"/>
      <c r="R44" s="146"/>
      <c r="S44" s="146"/>
      <c r="T44" s="146"/>
      <c r="U44" s="146"/>
      <c r="V44" s="146"/>
      <c r="W44" s="146"/>
      <c r="X44" s="146"/>
      <c r="Y44" s="146"/>
      <c r="AI44" s="323"/>
      <c r="AJ44" s="323"/>
      <c r="AK44" s="323"/>
      <c r="AL44" s="323"/>
      <c r="AM44" s="323"/>
    </row>
    <row r="45" spans="1:39">
      <c r="A45" s="334"/>
      <c r="B45" s="334"/>
      <c r="C45" s="334"/>
      <c r="D45" s="606"/>
      <c r="E45" s="607"/>
      <c r="F45" s="607"/>
      <c r="G45" s="607"/>
      <c r="H45" s="607"/>
      <c r="I45" s="607"/>
      <c r="J45" s="237"/>
      <c r="K45" s="237"/>
      <c r="L45" s="237"/>
      <c r="M45" s="237"/>
      <c r="N45" s="237"/>
      <c r="O45" s="237"/>
      <c r="P45" s="237"/>
      <c r="Q45" s="146"/>
      <c r="R45" s="146"/>
      <c r="S45" s="146"/>
      <c r="T45" s="146"/>
      <c r="U45" s="146"/>
      <c r="V45" s="146"/>
      <c r="W45" s="146"/>
      <c r="X45" s="146"/>
      <c r="Y45" s="146"/>
      <c r="AI45" s="323"/>
      <c r="AJ45" s="323"/>
      <c r="AK45" s="323"/>
      <c r="AL45" s="323"/>
      <c r="AM45" s="323"/>
    </row>
    <row r="46" spans="1:39">
      <c r="A46" s="342"/>
      <c r="B46" s="431" t="s">
        <v>856</v>
      </c>
      <c r="C46" s="432"/>
      <c r="D46" s="432"/>
      <c r="E46" s="432"/>
      <c r="F46" s="432"/>
      <c r="G46" s="432"/>
      <c r="H46" s="432"/>
      <c r="I46" s="432"/>
      <c r="J46" s="468"/>
      <c r="K46" s="237"/>
      <c r="L46" s="237"/>
      <c r="M46" s="237"/>
      <c r="N46" s="237"/>
      <c r="O46" s="237"/>
      <c r="P46" s="237"/>
      <c r="Q46" s="146"/>
      <c r="R46" s="146"/>
      <c r="S46" s="146"/>
      <c r="T46" s="146"/>
      <c r="U46" s="146"/>
      <c r="V46" s="146"/>
      <c r="W46" s="146"/>
      <c r="X46" s="146"/>
      <c r="Y46" s="146"/>
      <c r="AI46" s="323"/>
      <c r="AJ46" s="323"/>
      <c r="AK46" s="323"/>
      <c r="AL46" s="323"/>
      <c r="AM46" s="323"/>
    </row>
    <row r="47" spans="1:39" ht="43.5">
      <c r="A47" s="342"/>
      <c r="B47" s="364" t="s">
        <v>160</v>
      </c>
      <c r="C47" s="609"/>
      <c r="D47" s="463" t="s">
        <v>841</v>
      </c>
      <c r="E47" s="292" t="s">
        <v>60</v>
      </c>
      <c r="F47" s="292" t="s">
        <v>61</v>
      </c>
      <c r="G47" s="181" t="s">
        <v>62</v>
      </c>
      <c r="H47" s="181" t="s">
        <v>843</v>
      </c>
      <c r="I47" s="292" t="s">
        <v>844</v>
      </c>
      <c r="J47" s="468"/>
      <c r="K47" s="237"/>
      <c r="L47" s="237"/>
      <c r="M47" s="237"/>
      <c r="N47" s="237"/>
      <c r="O47" s="237"/>
      <c r="P47" s="237"/>
      <c r="Q47" s="146"/>
      <c r="R47" s="146"/>
      <c r="S47" s="146"/>
      <c r="T47" s="146"/>
      <c r="U47" s="146"/>
      <c r="V47" s="146"/>
      <c r="W47" s="146"/>
      <c r="X47" s="146"/>
      <c r="Y47" s="146"/>
      <c r="AI47" s="323"/>
      <c r="AJ47" s="323"/>
      <c r="AK47" s="323"/>
      <c r="AL47" s="323"/>
      <c r="AM47" s="323"/>
    </row>
    <row r="48" spans="1:39">
      <c r="A48" s="342"/>
      <c r="B48" s="608" t="s">
        <v>1054</v>
      </c>
      <c r="C48" s="590"/>
      <c r="D48" s="141">
        <f>D43</f>
        <v>0</v>
      </c>
      <c r="E48" s="141">
        <f t="shared" ref="E48:I48" si="25">E43</f>
        <v>2512.3452367670402</v>
      </c>
      <c r="F48" s="141">
        <f t="shared" si="25"/>
        <v>3207.7540097431224</v>
      </c>
      <c r="G48" s="141">
        <f t="shared" si="25"/>
        <v>3233.4075861736569</v>
      </c>
      <c r="H48" s="141">
        <f t="shared" si="25"/>
        <v>3259.2663235927448</v>
      </c>
      <c r="I48" s="141">
        <f t="shared" si="25"/>
        <v>3285.331862747491</v>
      </c>
      <c r="J48" s="468"/>
      <c r="K48" s="237"/>
      <c r="L48" s="237"/>
      <c r="M48" s="237"/>
      <c r="N48" s="237"/>
      <c r="O48" s="237"/>
      <c r="P48" s="237"/>
      <c r="Q48" s="146"/>
      <c r="R48" s="146"/>
      <c r="S48" s="146"/>
      <c r="T48" s="146"/>
      <c r="U48" s="146"/>
      <c r="V48" s="146"/>
      <c r="W48" s="146"/>
      <c r="X48" s="146"/>
      <c r="Y48" s="146"/>
      <c r="AI48" s="323"/>
      <c r="AJ48" s="323"/>
      <c r="AK48" s="323"/>
      <c r="AL48" s="323"/>
      <c r="AM48" s="323"/>
    </row>
    <row r="49" spans="1:39">
      <c r="A49" s="342"/>
      <c r="B49" s="604"/>
      <c r="C49" s="368"/>
      <c r="D49" s="205">
        <f t="shared" ref="D49" si="26">SUM(D48:D48)</f>
        <v>0</v>
      </c>
      <c r="E49" s="205">
        <f>SUM(E48:E48)</f>
        <v>2512.3452367670402</v>
      </c>
      <c r="F49" s="205">
        <f>SUM(F48:F48)</f>
        <v>3207.7540097431224</v>
      </c>
      <c r="G49" s="205">
        <f>SUM(G48:G48)</f>
        <v>3233.4075861736569</v>
      </c>
      <c r="H49" s="205">
        <f>SUM(H48:H48)</f>
        <v>3259.2663235927448</v>
      </c>
      <c r="I49" s="205">
        <f>SUM(I48:I48)</f>
        <v>3285.331862747491</v>
      </c>
      <c r="J49" s="468"/>
      <c r="K49" s="237"/>
      <c r="L49" s="237"/>
      <c r="M49" s="237"/>
      <c r="N49" s="237"/>
      <c r="O49" s="237"/>
      <c r="P49" s="237"/>
      <c r="Q49" s="146"/>
      <c r="R49" s="146"/>
      <c r="S49" s="146"/>
      <c r="T49" s="146"/>
      <c r="U49" s="146"/>
      <c r="V49" s="146"/>
      <c r="W49" s="146"/>
      <c r="X49" s="146"/>
      <c r="Y49" s="146"/>
      <c r="AI49" s="323"/>
      <c r="AJ49" s="323"/>
      <c r="AK49" s="323"/>
      <c r="AL49" s="323"/>
      <c r="AM49" s="323"/>
    </row>
    <row r="50" spans="1:39">
      <c r="A50" s="342"/>
      <c r="B50" s="293"/>
      <c r="C50" s="293"/>
      <c r="D50" s="322" t="s">
        <v>857</v>
      </c>
      <c r="E50" s="205">
        <f>E49-$D$49</f>
        <v>2512.3452367670402</v>
      </c>
      <c r="F50" s="205">
        <f>F49-$D$49</f>
        <v>3207.7540097431224</v>
      </c>
      <c r="G50" s="205">
        <f>G49-$D$49</f>
        <v>3233.4075861736569</v>
      </c>
      <c r="H50" s="205">
        <f>H49-$D$49</f>
        <v>3259.2663235927448</v>
      </c>
      <c r="I50" s="205">
        <f>I49-$D$49</f>
        <v>3285.331862747491</v>
      </c>
      <c r="J50" s="468"/>
      <c r="K50" s="237"/>
      <c r="L50" s="237"/>
      <c r="M50" s="237"/>
      <c r="N50" s="237"/>
      <c r="O50" s="237"/>
      <c r="P50" s="237"/>
      <c r="Q50" s="146"/>
      <c r="R50" s="146"/>
      <c r="S50" s="146"/>
      <c r="T50" s="146"/>
      <c r="U50" s="146"/>
      <c r="V50" s="146"/>
      <c r="W50" s="146"/>
      <c r="X50" s="146"/>
      <c r="Y50" s="146"/>
      <c r="AI50" s="323"/>
      <c r="AJ50" s="323"/>
      <c r="AK50" s="323"/>
      <c r="AL50" s="323"/>
      <c r="AM50" s="323"/>
    </row>
    <row r="51" spans="1:39">
      <c r="A51" s="334"/>
      <c r="B51" s="367"/>
      <c r="C51" s="340"/>
      <c r="D51" s="339"/>
      <c r="E51" s="340"/>
      <c r="F51" s="341"/>
      <c r="G51" s="334"/>
      <c r="H51" s="334"/>
      <c r="I51" s="338"/>
      <c r="J51" s="237"/>
      <c r="K51" s="237"/>
      <c r="L51" s="237"/>
      <c r="M51" s="237"/>
      <c r="N51" s="237"/>
      <c r="O51" s="237"/>
      <c r="P51" s="237"/>
      <c r="Q51" s="146"/>
      <c r="R51" s="146"/>
      <c r="S51" s="146"/>
      <c r="T51" s="146"/>
      <c r="U51" s="146"/>
      <c r="V51" s="146"/>
      <c r="W51" s="146"/>
      <c r="X51" s="146"/>
      <c r="Y51" s="146"/>
      <c r="AI51" s="323"/>
      <c r="AJ51" s="323"/>
      <c r="AK51" s="323"/>
      <c r="AL51" s="323"/>
      <c r="AM51" s="323"/>
    </row>
    <row r="52" spans="1:39">
      <c r="A52" s="342"/>
      <c r="B52" s="431" t="s">
        <v>1091</v>
      </c>
      <c r="C52" s="432"/>
      <c r="D52" s="432"/>
      <c r="E52" s="432"/>
      <c r="F52" s="432"/>
      <c r="G52" s="432"/>
      <c r="H52" s="432"/>
      <c r="I52" s="432"/>
      <c r="J52" s="468"/>
      <c r="K52" s="237"/>
      <c r="L52" s="237"/>
      <c r="M52" s="237"/>
      <c r="N52" s="237"/>
      <c r="O52" s="237"/>
      <c r="P52" s="237"/>
      <c r="Q52" s="146"/>
      <c r="R52" s="146"/>
      <c r="S52" s="146"/>
      <c r="T52" s="146"/>
      <c r="U52" s="146"/>
      <c r="V52" s="146"/>
      <c r="W52" s="146"/>
      <c r="X52" s="146"/>
      <c r="Y52" s="146"/>
      <c r="AI52" s="323"/>
      <c r="AJ52" s="323"/>
      <c r="AK52" s="323"/>
      <c r="AL52" s="323"/>
      <c r="AM52" s="323"/>
    </row>
    <row r="53" spans="1:39" ht="43.5">
      <c r="A53" s="342"/>
      <c r="B53" s="364" t="s">
        <v>160</v>
      </c>
      <c r="C53" s="182" t="s">
        <v>163</v>
      </c>
      <c r="D53" s="463" t="s">
        <v>841</v>
      </c>
      <c r="E53" s="292" t="s">
        <v>60</v>
      </c>
      <c r="F53" s="292" t="s">
        <v>61</v>
      </c>
      <c r="G53" s="181" t="s">
        <v>62</v>
      </c>
      <c r="H53" s="181" t="s">
        <v>843</v>
      </c>
      <c r="I53" s="292" t="s">
        <v>844</v>
      </c>
      <c r="J53" s="468"/>
      <c r="K53" s="463" t="s">
        <v>841</v>
      </c>
      <c r="L53" s="628" t="s">
        <v>60</v>
      </c>
      <c r="M53" s="628" t="s">
        <v>61</v>
      </c>
      <c r="N53" s="464" t="s">
        <v>842</v>
      </c>
      <c r="O53" s="464" t="s">
        <v>843</v>
      </c>
      <c r="P53" s="628" t="s">
        <v>844</v>
      </c>
      <c r="Q53" s="146"/>
      <c r="R53" s="146"/>
      <c r="S53" s="146"/>
      <c r="T53" s="146"/>
      <c r="U53" s="146"/>
      <c r="V53" s="146"/>
      <c r="W53" s="146"/>
      <c r="X53" s="146"/>
      <c r="Y53" s="146"/>
      <c r="AI53" s="323"/>
      <c r="AJ53" s="323"/>
      <c r="AK53" s="323"/>
      <c r="AL53" s="323"/>
      <c r="AM53" s="323"/>
    </row>
    <row r="54" spans="1:39">
      <c r="A54" s="342"/>
      <c r="B54" s="343" t="s">
        <v>1057</v>
      </c>
      <c r="C54" s="329">
        <f>'Unit costs'!N26</f>
        <v>137</v>
      </c>
      <c r="D54" s="141">
        <f>D41+D34</f>
        <v>0</v>
      </c>
      <c r="E54" s="141">
        <f>E41+E34</f>
        <v>1370.3701291456582</v>
      </c>
      <c r="F54" s="141">
        <f t="shared" ref="F54:I54" si="27">F41+F34</f>
        <v>1749.6840053144304</v>
      </c>
      <c r="G54" s="141">
        <f t="shared" si="27"/>
        <v>1763.676865185631</v>
      </c>
      <c r="H54" s="141">
        <f t="shared" si="27"/>
        <v>1777.7816310505882</v>
      </c>
      <c r="I54" s="141">
        <f t="shared" si="27"/>
        <v>1791.9991978622679</v>
      </c>
      <c r="J54" s="468"/>
      <c r="K54" s="329">
        <f>(D54*$C$54)/1000</f>
        <v>0</v>
      </c>
      <c r="L54" s="329">
        <f t="shared" ref="L54:P54" si="28">(E54*$C$54)/1000</f>
        <v>187.7407076929552</v>
      </c>
      <c r="M54" s="329">
        <f t="shared" si="28"/>
        <v>239.70670872807696</v>
      </c>
      <c r="N54" s="329">
        <f t="shared" si="28"/>
        <v>241.62373053043143</v>
      </c>
      <c r="O54" s="329">
        <f t="shared" si="28"/>
        <v>243.5560834539306</v>
      </c>
      <c r="P54" s="329">
        <f t="shared" si="28"/>
        <v>245.50389010713073</v>
      </c>
      <c r="Q54" s="146"/>
      <c r="R54" s="146"/>
      <c r="S54" s="146"/>
      <c r="T54" s="146"/>
      <c r="U54" s="146"/>
      <c r="V54" s="146"/>
      <c r="W54" s="146"/>
      <c r="X54" s="146"/>
      <c r="Y54" s="146"/>
      <c r="AI54" s="323"/>
      <c r="AJ54" s="323"/>
      <c r="AK54" s="323"/>
      <c r="AL54" s="323"/>
      <c r="AM54" s="323"/>
    </row>
    <row r="55" spans="1:39">
      <c r="A55" s="342"/>
      <c r="B55" s="368"/>
      <c r="C55" s="368"/>
      <c r="D55" s="205">
        <f t="shared" ref="D55:I55" si="29">SUM(D54:D54)</f>
        <v>0</v>
      </c>
      <c r="E55" s="205">
        <f t="shared" si="29"/>
        <v>1370.3701291456582</v>
      </c>
      <c r="F55" s="205">
        <f t="shared" si="29"/>
        <v>1749.6840053144304</v>
      </c>
      <c r="G55" s="205">
        <f t="shared" si="29"/>
        <v>1763.676865185631</v>
      </c>
      <c r="H55" s="205">
        <f t="shared" si="29"/>
        <v>1777.7816310505882</v>
      </c>
      <c r="I55" s="205">
        <f t="shared" si="29"/>
        <v>1791.9991978622679</v>
      </c>
      <c r="J55" s="468"/>
      <c r="K55" s="330">
        <f t="shared" ref="K55:P55" si="30">SUM(K54:K54)</f>
        <v>0</v>
      </c>
      <c r="L55" s="330">
        <f t="shared" si="30"/>
        <v>187.7407076929552</v>
      </c>
      <c r="M55" s="330">
        <f t="shared" si="30"/>
        <v>239.70670872807696</v>
      </c>
      <c r="N55" s="330">
        <f t="shared" si="30"/>
        <v>241.62373053043143</v>
      </c>
      <c r="O55" s="330">
        <f t="shared" si="30"/>
        <v>243.5560834539306</v>
      </c>
      <c r="P55" s="330">
        <f t="shared" si="30"/>
        <v>245.50389010713073</v>
      </c>
      <c r="Q55" s="146"/>
      <c r="R55" s="146"/>
      <c r="S55" s="146"/>
      <c r="T55" s="146"/>
      <c r="U55" s="146"/>
      <c r="V55" s="146"/>
      <c r="W55" s="146"/>
      <c r="X55" s="146"/>
      <c r="Y55" s="146"/>
      <c r="AI55" s="323"/>
      <c r="AJ55" s="323"/>
      <c r="AK55" s="323"/>
      <c r="AL55" s="323"/>
      <c r="AM55" s="323"/>
    </row>
    <row r="56" spans="1:39">
      <c r="A56" s="342"/>
      <c r="B56" s="293"/>
      <c r="C56" s="293"/>
      <c r="D56" s="322" t="s">
        <v>1095</v>
      </c>
      <c r="E56" s="205">
        <f>E55-D55</f>
        <v>1370.3701291456582</v>
      </c>
      <c r="F56" s="205">
        <f>F55-$D$55</f>
        <v>1749.6840053144304</v>
      </c>
      <c r="G56" s="205">
        <f t="shared" ref="G56:I56" si="31">G55-$D$55</f>
        <v>1763.676865185631</v>
      </c>
      <c r="H56" s="205">
        <f t="shared" si="31"/>
        <v>1777.7816310505882</v>
      </c>
      <c r="I56" s="205">
        <f t="shared" si="31"/>
        <v>1791.9991978622679</v>
      </c>
      <c r="J56" s="468"/>
      <c r="K56" s="634"/>
      <c r="L56" s="330">
        <f>L55-$K55</f>
        <v>187.7407076929552</v>
      </c>
      <c r="M56" s="330">
        <f t="shared" ref="M56:P56" si="32">M55-$K55</f>
        <v>239.70670872807696</v>
      </c>
      <c r="N56" s="330">
        <f t="shared" si="32"/>
        <v>241.62373053043143</v>
      </c>
      <c r="O56" s="330">
        <f t="shared" si="32"/>
        <v>243.5560834539306</v>
      </c>
      <c r="P56" s="330">
        <f t="shared" si="32"/>
        <v>245.50389010713073</v>
      </c>
      <c r="Q56" s="146"/>
      <c r="R56" s="146"/>
      <c r="S56" s="146"/>
      <c r="T56" s="146"/>
      <c r="U56" s="146"/>
      <c r="V56" s="146"/>
      <c r="W56" s="146"/>
      <c r="X56" s="146"/>
      <c r="Y56" s="146"/>
      <c r="AI56" s="323"/>
      <c r="AJ56" s="323"/>
      <c r="AK56" s="323"/>
      <c r="AL56" s="323"/>
      <c r="AM56" s="323"/>
    </row>
    <row r="57" spans="1:39">
      <c r="A57" s="334"/>
      <c r="B57" s="367"/>
      <c r="C57" s="340"/>
      <c r="D57" s="339"/>
      <c r="E57" s="340"/>
      <c r="F57" s="341"/>
      <c r="G57" s="334"/>
      <c r="H57" s="334"/>
      <c r="I57" s="338"/>
      <c r="J57" s="237"/>
      <c r="K57" s="237"/>
      <c r="L57" s="237"/>
      <c r="M57" s="237"/>
      <c r="N57" s="237"/>
      <c r="O57" s="237"/>
      <c r="P57" s="237"/>
      <c r="Q57" s="146"/>
      <c r="R57" s="146"/>
      <c r="S57" s="146"/>
      <c r="T57" s="146"/>
      <c r="U57" s="146"/>
      <c r="V57" s="146"/>
      <c r="W57" s="146"/>
      <c r="X57" s="146"/>
      <c r="Y57" s="146"/>
      <c r="AI57" s="323"/>
      <c r="AJ57" s="323"/>
      <c r="AK57" s="323"/>
      <c r="AL57" s="323"/>
      <c r="AM57" s="323"/>
    </row>
    <row r="58" spans="1:39">
      <c r="A58" s="334"/>
      <c r="B58" s="605" t="s">
        <v>1092</v>
      </c>
      <c r="C58" s="432"/>
      <c r="D58" s="432"/>
      <c r="E58" s="432"/>
      <c r="F58" s="432"/>
      <c r="G58" s="432"/>
      <c r="H58" s="432"/>
      <c r="I58" s="236"/>
      <c r="J58" s="237"/>
      <c r="K58" s="237"/>
      <c r="L58" s="237"/>
      <c r="M58" s="237"/>
      <c r="N58" s="237"/>
      <c r="O58" s="237"/>
      <c r="P58" s="237"/>
      <c r="Q58" s="146"/>
      <c r="R58" s="146"/>
      <c r="S58" s="146"/>
      <c r="T58" s="146"/>
      <c r="U58" s="146"/>
      <c r="V58" s="146"/>
      <c r="W58" s="146"/>
      <c r="X58" s="146"/>
      <c r="Y58" s="146"/>
      <c r="AI58" s="323"/>
      <c r="AJ58" s="323"/>
      <c r="AK58" s="323"/>
      <c r="AL58" s="323"/>
      <c r="AM58" s="323"/>
    </row>
    <row r="59" spans="1:39" ht="43.5">
      <c r="A59" s="334"/>
      <c r="B59" s="316" t="s">
        <v>160</v>
      </c>
      <c r="C59" s="609"/>
      <c r="D59" s="463" t="s">
        <v>841</v>
      </c>
      <c r="E59" s="292" t="s">
        <v>60</v>
      </c>
      <c r="F59" s="292" t="s">
        <v>61</v>
      </c>
      <c r="G59" s="181" t="s">
        <v>62</v>
      </c>
      <c r="H59" s="181" t="s">
        <v>843</v>
      </c>
      <c r="I59" s="292" t="s">
        <v>844</v>
      </c>
      <c r="J59" s="237"/>
      <c r="K59" s="237"/>
      <c r="L59" s="237"/>
      <c r="M59" s="237"/>
      <c r="N59" s="237"/>
      <c r="O59" s="237"/>
      <c r="P59" s="237"/>
      <c r="Q59" s="146"/>
      <c r="R59" s="146"/>
      <c r="S59" s="146"/>
      <c r="T59" s="146"/>
      <c r="U59" s="146"/>
      <c r="V59" s="146"/>
      <c r="W59" s="146"/>
      <c r="X59" s="146"/>
      <c r="Y59" s="146"/>
      <c r="AI59" s="323"/>
      <c r="AJ59" s="323"/>
      <c r="AK59" s="323"/>
      <c r="AL59" s="323"/>
      <c r="AM59" s="323"/>
    </row>
    <row r="60" spans="1:39">
      <c r="A60" s="334"/>
      <c r="B60" s="220" t="s">
        <v>1094</v>
      </c>
      <c r="C60" s="651"/>
      <c r="D60" s="141">
        <f>D42</f>
        <v>0</v>
      </c>
      <c r="E60" s="141">
        <f t="shared" ref="E60:I60" si="33">E42</f>
        <v>1256.1726183835201</v>
      </c>
      <c r="F60" s="141">
        <f t="shared" si="33"/>
        <v>1603.8770048715612</v>
      </c>
      <c r="G60" s="141">
        <f t="shared" si="33"/>
        <v>1616.7037930868285</v>
      </c>
      <c r="H60" s="141">
        <f t="shared" si="33"/>
        <v>1629.6331617963724</v>
      </c>
      <c r="I60" s="141">
        <f t="shared" si="33"/>
        <v>1642.6659313737455</v>
      </c>
      <c r="J60" s="237"/>
      <c r="K60" s="237"/>
      <c r="L60" s="237"/>
      <c r="M60" s="237"/>
      <c r="N60" s="237"/>
      <c r="O60" s="237"/>
      <c r="P60" s="237"/>
      <c r="Q60" s="146"/>
      <c r="R60" s="146"/>
      <c r="S60" s="146"/>
      <c r="T60" s="146"/>
      <c r="U60" s="146"/>
      <c r="V60" s="146"/>
      <c r="W60" s="146"/>
      <c r="X60" s="146"/>
      <c r="Y60" s="146"/>
      <c r="AI60" s="323"/>
      <c r="AJ60" s="323"/>
      <c r="AK60" s="323"/>
      <c r="AL60" s="323"/>
      <c r="AM60" s="323"/>
    </row>
    <row r="61" spans="1:39">
      <c r="A61" s="334"/>
      <c r="B61" s="317"/>
      <c r="C61" s="368"/>
      <c r="D61" s="205">
        <f t="shared" ref="D61:I61" si="34">SUM(D60:D60)</f>
        <v>0</v>
      </c>
      <c r="E61" s="205">
        <f t="shared" si="34"/>
        <v>1256.1726183835201</v>
      </c>
      <c r="F61" s="205">
        <f t="shared" si="34"/>
        <v>1603.8770048715612</v>
      </c>
      <c r="G61" s="205">
        <f t="shared" si="34"/>
        <v>1616.7037930868285</v>
      </c>
      <c r="H61" s="205">
        <f t="shared" si="34"/>
        <v>1629.6331617963724</v>
      </c>
      <c r="I61" s="205">
        <f t="shared" si="34"/>
        <v>1642.6659313737455</v>
      </c>
      <c r="J61" s="237"/>
      <c r="K61" s="237"/>
      <c r="L61" s="237"/>
      <c r="M61" s="237"/>
      <c r="N61" s="237"/>
      <c r="O61" s="237"/>
      <c r="P61" s="237"/>
      <c r="Q61" s="146"/>
      <c r="R61" s="146"/>
      <c r="S61" s="146"/>
      <c r="T61" s="146"/>
      <c r="U61" s="146"/>
      <c r="V61" s="146"/>
      <c r="W61" s="146"/>
      <c r="X61" s="146"/>
      <c r="Y61" s="146"/>
      <c r="AI61" s="323"/>
      <c r="AJ61" s="323"/>
      <c r="AK61" s="323"/>
      <c r="AL61" s="323"/>
      <c r="AM61" s="323"/>
    </row>
    <row r="62" spans="1:39">
      <c r="A62" s="334"/>
      <c r="B62" s="348"/>
      <c r="C62" s="293"/>
      <c r="D62" s="322" t="s">
        <v>1096</v>
      </c>
      <c r="E62" s="205">
        <f>E61-D61</f>
        <v>1256.1726183835201</v>
      </c>
      <c r="F62" s="205">
        <f>F61-$D$61</f>
        <v>1603.8770048715612</v>
      </c>
      <c r="G62" s="205">
        <f t="shared" ref="G62:I62" si="35">G61-$D$61</f>
        <v>1616.7037930868285</v>
      </c>
      <c r="H62" s="205">
        <f t="shared" si="35"/>
        <v>1629.6331617963724</v>
      </c>
      <c r="I62" s="205">
        <f t="shared" si="35"/>
        <v>1642.6659313737455</v>
      </c>
      <c r="J62" s="237"/>
      <c r="K62" s="237"/>
      <c r="L62" s="237"/>
      <c r="M62" s="237"/>
      <c r="N62" s="237"/>
      <c r="O62" s="237"/>
      <c r="P62" s="237"/>
      <c r="Q62" s="146"/>
      <c r="R62" s="146"/>
      <c r="S62" s="146"/>
      <c r="T62" s="146"/>
      <c r="U62" s="146"/>
      <c r="V62" s="146"/>
      <c r="W62" s="146"/>
      <c r="X62" s="146"/>
      <c r="Y62" s="146"/>
      <c r="AI62" s="323"/>
      <c r="AJ62" s="323"/>
      <c r="AK62" s="323"/>
      <c r="AL62" s="323"/>
      <c r="AM62" s="323"/>
    </row>
    <row r="63" spans="1:39">
      <c r="A63" s="334"/>
      <c r="B63" s="367"/>
      <c r="C63" s="340"/>
      <c r="D63" s="339"/>
      <c r="E63" s="340"/>
      <c r="F63" s="341"/>
      <c r="G63" s="334"/>
      <c r="H63" s="334"/>
      <c r="I63" s="338"/>
      <c r="J63" s="237"/>
      <c r="K63" s="237"/>
      <c r="L63" s="237"/>
      <c r="M63" s="237"/>
      <c r="N63" s="237"/>
      <c r="O63" s="237"/>
      <c r="P63" s="237"/>
      <c r="Q63" s="146"/>
      <c r="R63" s="146"/>
      <c r="S63" s="146"/>
      <c r="T63" s="146"/>
      <c r="U63" s="146"/>
      <c r="V63" s="146"/>
      <c r="W63" s="146"/>
      <c r="X63" s="146"/>
      <c r="Y63" s="146"/>
      <c r="AI63" s="323"/>
      <c r="AJ63" s="323"/>
      <c r="AK63" s="323"/>
      <c r="AL63" s="323"/>
      <c r="AM63" s="323"/>
    </row>
    <row r="64" spans="1:39">
      <c r="A64" s="342"/>
      <c r="B64" s="431" t="s">
        <v>1105</v>
      </c>
      <c r="C64" s="432"/>
      <c r="D64" s="432"/>
      <c r="E64" s="432"/>
      <c r="F64" s="432"/>
      <c r="G64" s="432"/>
      <c r="H64" s="432"/>
      <c r="I64" s="432"/>
      <c r="J64" s="468"/>
      <c r="K64" s="237"/>
      <c r="L64" s="237"/>
      <c r="M64" s="237"/>
      <c r="N64" s="237"/>
      <c r="O64" s="237"/>
      <c r="P64" s="237"/>
      <c r="R64" s="146"/>
      <c r="S64" s="146"/>
      <c r="T64" s="146"/>
      <c r="U64" s="146"/>
      <c r="V64" s="146"/>
      <c r="W64" s="146"/>
      <c r="X64" s="146"/>
      <c r="Y64" s="146"/>
      <c r="AI64" s="323"/>
      <c r="AJ64" s="323"/>
      <c r="AK64" s="323"/>
      <c r="AL64" s="323"/>
      <c r="AM64" s="323"/>
    </row>
    <row r="65" spans="1:39" ht="43.5">
      <c r="A65" s="342"/>
      <c r="B65" s="364" t="s">
        <v>160</v>
      </c>
      <c r="C65" s="182" t="s">
        <v>858</v>
      </c>
      <c r="D65" s="463" t="s">
        <v>841</v>
      </c>
      <c r="E65" s="292" t="s">
        <v>60</v>
      </c>
      <c r="F65" s="292" t="s">
        <v>61</v>
      </c>
      <c r="G65" s="181" t="s">
        <v>62</v>
      </c>
      <c r="H65" s="181" t="s">
        <v>843</v>
      </c>
      <c r="I65" s="292" t="s">
        <v>844</v>
      </c>
      <c r="J65" s="468"/>
      <c r="K65" s="237"/>
      <c r="L65" s="237"/>
      <c r="M65" s="237"/>
      <c r="N65" s="237"/>
      <c r="O65" s="237"/>
      <c r="P65" s="237"/>
      <c r="U65" s="146"/>
      <c r="AI65" s="323"/>
      <c r="AJ65" s="323"/>
      <c r="AK65" s="323"/>
      <c r="AL65" s="323"/>
      <c r="AM65" s="323"/>
    </row>
    <row r="66" spans="1:39">
      <c r="A66" s="342"/>
      <c r="B66" s="391" t="s">
        <v>1072</v>
      </c>
      <c r="C66" s="333">
        <f>'Inputs and eligible population'!F50</f>
        <v>12</v>
      </c>
      <c r="D66" s="141">
        <f>'Financial impact (cash)'!D13*$C$66</f>
        <v>0</v>
      </c>
      <c r="E66" s="141">
        <f>'Financial impact (cash)'!E13*$C$66</f>
        <v>1370.3701291456582</v>
      </c>
      <c r="F66" s="141">
        <f>'Financial impact (cash)'!F13*$C$66</f>
        <v>1749.6840053144304</v>
      </c>
      <c r="G66" s="141">
        <f>'Financial impact (cash)'!G13*$C$66</f>
        <v>1763.676865185631</v>
      </c>
      <c r="H66" s="141">
        <f>'Financial impact (cash)'!H13*$C$66</f>
        <v>1777.7816310505882</v>
      </c>
      <c r="I66" s="141">
        <f>'Financial impact (cash)'!I13*$C$66</f>
        <v>1791.9991978622679</v>
      </c>
      <c r="J66" s="468"/>
      <c r="K66" s="237"/>
      <c r="L66" s="237"/>
      <c r="M66" s="237"/>
      <c r="N66" s="237"/>
      <c r="O66" s="237"/>
      <c r="P66" s="237"/>
      <c r="U66" s="146"/>
      <c r="AI66" s="323"/>
      <c r="AJ66" s="323"/>
      <c r="AK66" s="323"/>
      <c r="AL66" s="323"/>
      <c r="AM66" s="323"/>
    </row>
    <row r="67" spans="1:39">
      <c r="A67" s="342"/>
      <c r="B67" s="391" t="s">
        <v>1073</v>
      </c>
      <c r="C67" s="333">
        <f>C66</f>
        <v>12</v>
      </c>
      <c r="D67" s="141">
        <f>'Financial impact (cash)'!D14*$C$66</f>
        <v>0</v>
      </c>
      <c r="E67" s="141">
        <f>'Financial impact (cash)'!E14*$C$66</f>
        <v>1370.3701291456582</v>
      </c>
      <c r="F67" s="141">
        <f>'Financial impact (cash)'!F14*$C$66</f>
        <v>1749.6840053144304</v>
      </c>
      <c r="G67" s="141">
        <f>'Financial impact (cash)'!G14*$C$66</f>
        <v>1763.676865185631</v>
      </c>
      <c r="H67" s="141">
        <f>'Financial impact (cash)'!H14*$C$66</f>
        <v>1777.7816310505882</v>
      </c>
      <c r="I67" s="141">
        <f>'Financial impact (cash)'!I14*$C$66</f>
        <v>1791.9991978622679</v>
      </c>
      <c r="J67" s="468"/>
      <c r="K67" s="237"/>
      <c r="L67" s="237"/>
      <c r="M67" s="237"/>
      <c r="N67" s="237"/>
      <c r="O67" s="237"/>
      <c r="P67" s="237"/>
      <c r="U67" s="146"/>
      <c r="AI67" s="323"/>
      <c r="AJ67" s="323"/>
      <c r="AK67" s="323"/>
      <c r="AL67" s="323"/>
      <c r="AM67" s="323"/>
    </row>
    <row r="68" spans="1:39">
      <c r="A68" s="342"/>
      <c r="B68" s="368"/>
      <c r="C68" s="368"/>
      <c r="D68" s="205">
        <f t="shared" ref="D68:I68" si="36">SUM(D66:D67)</f>
        <v>0</v>
      </c>
      <c r="E68" s="205">
        <f t="shared" si="36"/>
        <v>2740.7402582913164</v>
      </c>
      <c r="F68" s="205">
        <f t="shared" si="36"/>
        <v>3499.3680106288607</v>
      </c>
      <c r="G68" s="205">
        <f t="shared" si="36"/>
        <v>3527.3537303712619</v>
      </c>
      <c r="H68" s="205">
        <f t="shared" si="36"/>
        <v>3555.5632621011764</v>
      </c>
      <c r="I68" s="205">
        <f t="shared" si="36"/>
        <v>3583.9983957245358</v>
      </c>
      <c r="J68" s="334"/>
      <c r="K68" s="334"/>
      <c r="L68" s="334"/>
      <c r="M68" s="334"/>
      <c r="N68" s="334"/>
      <c r="O68" s="334"/>
      <c r="P68" s="334"/>
      <c r="U68" s="146"/>
      <c r="AI68" s="323"/>
      <c r="AJ68" s="323"/>
      <c r="AK68" s="323"/>
      <c r="AL68" s="323"/>
      <c r="AM68" s="323"/>
    </row>
    <row r="69" spans="1:39">
      <c r="A69" s="342"/>
      <c r="B69" s="293"/>
      <c r="C69" s="293"/>
      <c r="D69" s="322" t="s">
        <v>859</v>
      </c>
      <c r="E69" s="205">
        <f>E68-$D$68</f>
        <v>2740.7402582913164</v>
      </c>
      <c r="F69" s="205">
        <f>F68-$D$68</f>
        <v>3499.3680106288607</v>
      </c>
      <c r="G69" s="205">
        <f>G68-$D$68</f>
        <v>3527.3537303712619</v>
      </c>
      <c r="H69" s="205">
        <f>H68-$D$68</f>
        <v>3555.5632621011764</v>
      </c>
      <c r="I69" s="205">
        <f>I68-$D$68</f>
        <v>3583.9983957245358</v>
      </c>
      <c r="J69" s="334"/>
      <c r="K69" s="334"/>
      <c r="L69" s="334"/>
      <c r="M69" s="334"/>
      <c r="N69" s="334"/>
      <c r="O69" s="334"/>
      <c r="P69" s="334"/>
      <c r="R69" s="146"/>
      <c r="S69" s="146"/>
      <c r="T69" s="146"/>
      <c r="U69" s="146"/>
      <c r="V69" s="146"/>
      <c r="W69" s="146"/>
      <c r="X69" s="146"/>
      <c r="Y69" s="146"/>
      <c r="AI69" s="323"/>
      <c r="AJ69" s="323"/>
      <c r="AK69" s="323"/>
      <c r="AL69" s="323"/>
      <c r="AM69" s="323"/>
    </row>
    <row r="70" spans="1:39">
      <c r="A70" s="334"/>
      <c r="B70" s="367"/>
      <c r="C70" s="340"/>
      <c r="D70" s="340"/>
      <c r="E70" s="341"/>
      <c r="F70" s="334"/>
      <c r="G70" s="334"/>
      <c r="H70" s="237"/>
      <c r="I70" s="237"/>
      <c r="J70" s="237"/>
      <c r="K70" s="237"/>
      <c r="L70" s="237"/>
      <c r="M70" s="237"/>
      <c r="N70" s="237"/>
      <c r="O70" s="237"/>
      <c r="P70" s="237"/>
      <c r="R70" s="146"/>
      <c r="S70" s="146"/>
      <c r="T70" s="146"/>
      <c r="U70" s="146"/>
      <c r="V70" s="146"/>
      <c r="W70" s="146"/>
      <c r="X70" s="146"/>
      <c r="Y70" s="146"/>
      <c r="AI70" s="323"/>
      <c r="AJ70" s="323"/>
      <c r="AK70" s="323"/>
      <c r="AL70" s="323"/>
      <c r="AM70" s="323"/>
    </row>
    <row r="71" spans="1:39">
      <c r="A71" s="324"/>
      <c r="B71" s="369" t="s">
        <v>860</v>
      </c>
      <c r="C71" s="344"/>
      <c r="D71" s="344"/>
      <c r="E71" s="345"/>
      <c r="F71" s="346"/>
      <c r="G71" s="347"/>
      <c r="H71" s="347"/>
      <c r="I71" s="347"/>
      <c r="J71" s="475"/>
      <c r="K71" s="324"/>
      <c r="L71" s="324"/>
      <c r="M71" s="324"/>
      <c r="N71" s="324"/>
      <c r="O71" s="324"/>
      <c r="P71" s="239"/>
      <c r="U71" s="146"/>
    </row>
    <row r="72" spans="1:39">
      <c r="A72" s="324"/>
      <c r="B72" s="433" t="s">
        <v>861</v>
      </c>
      <c r="C72" s="434"/>
      <c r="D72" s="434"/>
      <c r="E72" s="434"/>
      <c r="F72" s="434"/>
      <c r="G72" s="434"/>
      <c r="H72" s="434"/>
      <c r="I72" s="238"/>
      <c r="J72" s="470"/>
      <c r="K72" s="324"/>
      <c r="L72" s="324"/>
      <c r="M72" s="324"/>
      <c r="N72" s="324"/>
      <c r="O72" s="324"/>
      <c r="P72" s="239"/>
      <c r="U72" s="146"/>
    </row>
    <row r="73" spans="1:39" ht="58">
      <c r="A73" s="324"/>
      <c r="B73" s="319" t="s">
        <v>160</v>
      </c>
      <c r="C73" s="182" t="s">
        <v>862</v>
      </c>
      <c r="D73" s="463" t="s">
        <v>841</v>
      </c>
      <c r="E73" s="292" t="s">
        <v>60</v>
      </c>
      <c r="F73" s="292" t="s">
        <v>61</v>
      </c>
      <c r="G73" s="181" t="s">
        <v>62</v>
      </c>
      <c r="H73" s="181" t="s">
        <v>843</v>
      </c>
      <c r="I73" s="292" t="s">
        <v>844</v>
      </c>
      <c r="J73" s="324"/>
      <c r="K73" s="324"/>
      <c r="L73" s="324"/>
      <c r="M73" s="324"/>
      <c r="N73" s="324"/>
      <c r="O73" s="324"/>
      <c r="P73" s="239"/>
      <c r="U73" s="146"/>
    </row>
    <row r="74" spans="1:39">
      <c r="A74" s="324"/>
      <c r="B74" s="391" t="s">
        <v>1049</v>
      </c>
      <c r="C74" s="165">
        <f>'Inputs and eligible population'!F72</f>
        <v>0</v>
      </c>
      <c r="D74" s="141">
        <f>(D68*$C$74)/60</f>
        <v>0</v>
      </c>
      <c r="E74" s="141">
        <f t="shared" ref="E74:I74" si="37">(E68*$C$74)/60</f>
        <v>0</v>
      </c>
      <c r="F74" s="141">
        <f t="shared" si="37"/>
        <v>0</v>
      </c>
      <c r="G74" s="141">
        <f t="shared" si="37"/>
        <v>0</v>
      </c>
      <c r="H74" s="141">
        <f t="shared" si="37"/>
        <v>0</v>
      </c>
      <c r="I74" s="141">
        <f t="shared" si="37"/>
        <v>0</v>
      </c>
      <c r="J74" s="324"/>
      <c r="K74" s="324"/>
      <c r="L74" s="324"/>
      <c r="M74" s="324"/>
      <c r="N74" s="324"/>
      <c r="O74" s="324"/>
      <c r="P74" s="239"/>
      <c r="R74" s="146"/>
      <c r="S74" s="146"/>
      <c r="T74" s="146"/>
      <c r="U74" s="146"/>
      <c r="V74" s="146"/>
      <c r="W74" s="146"/>
      <c r="X74" s="146"/>
      <c r="Y74" s="146"/>
      <c r="AI74" s="323"/>
      <c r="AJ74" s="323"/>
      <c r="AK74" s="323"/>
      <c r="AL74" s="323"/>
      <c r="AM74" s="323"/>
    </row>
    <row r="75" spans="1:39">
      <c r="A75" s="324"/>
      <c r="B75" s="320" t="s">
        <v>863</v>
      </c>
      <c r="C75" s="368"/>
      <c r="D75" s="205">
        <f t="shared" ref="D75:I75" si="38">SUM(D74:D74)</f>
        <v>0</v>
      </c>
      <c r="E75" s="205">
        <f t="shared" si="38"/>
        <v>0</v>
      </c>
      <c r="F75" s="205">
        <f t="shared" si="38"/>
        <v>0</v>
      </c>
      <c r="G75" s="205">
        <f t="shared" si="38"/>
        <v>0</v>
      </c>
      <c r="H75" s="205">
        <f t="shared" si="38"/>
        <v>0</v>
      </c>
      <c r="I75" s="205">
        <f t="shared" si="38"/>
        <v>0</v>
      </c>
      <c r="J75" s="324"/>
      <c r="K75" s="324"/>
      <c r="L75" s="324"/>
      <c r="M75" s="324"/>
      <c r="N75" s="324"/>
      <c r="O75" s="324"/>
      <c r="P75" s="239"/>
      <c r="R75" s="146"/>
      <c r="S75" s="146"/>
      <c r="T75" s="146"/>
      <c r="U75" s="146"/>
      <c r="V75" s="146"/>
      <c r="W75" s="146"/>
      <c r="X75" s="146"/>
      <c r="Y75" s="146"/>
      <c r="AI75" s="323"/>
      <c r="AJ75" s="323"/>
      <c r="AK75" s="323"/>
      <c r="AL75" s="323"/>
      <c r="AM75" s="323"/>
    </row>
    <row r="76" spans="1:39">
      <c r="A76" s="324"/>
      <c r="B76" s="348"/>
      <c r="C76" s="293"/>
      <c r="D76" s="322" t="s">
        <v>864</v>
      </c>
      <c r="E76" s="205">
        <f>E75-$D$75</f>
        <v>0</v>
      </c>
      <c r="F76" s="205">
        <f>F75-$D$75</f>
        <v>0</v>
      </c>
      <c r="G76" s="205">
        <f>G75-$D$75</f>
        <v>0</v>
      </c>
      <c r="H76" s="205">
        <f>H75-$D$75</f>
        <v>0</v>
      </c>
      <c r="I76" s="205">
        <f>I75-$D$75</f>
        <v>0</v>
      </c>
      <c r="J76" s="324"/>
      <c r="K76" s="324"/>
      <c r="L76" s="324"/>
      <c r="M76" s="324"/>
      <c r="N76" s="324"/>
      <c r="O76" s="324"/>
      <c r="P76" s="239"/>
      <c r="R76" s="146"/>
      <c r="S76" s="146"/>
      <c r="T76" s="146"/>
      <c r="U76" s="146"/>
      <c r="V76" s="146"/>
      <c r="W76" s="146"/>
      <c r="X76" s="146"/>
      <c r="Y76" s="146"/>
      <c r="AI76" s="323"/>
      <c r="AJ76" s="323"/>
      <c r="AK76" s="323"/>
      <c r="AL76" s="323"/>
      <c r="AM76" s="323"/>
    </row>
    <row r="77" spans="1:39">
      <c r="A77" s="324"/>
      <c r="B77" s="370"/>
      <c r="C77" s="239"/>
      <c r="D77" s="239"/>
      <c r="E77" s="239"/>
      <c r="F77" s="239"/>
      <c r="G77" s="239"/>
      <c r="H77" s="239"/>
      <c r="I77" s="239"/>
      <c r="J77" s="239"/>
      <c r="K77" s="324"/>
      <c r="L77" s="324"/>
      <c r="M77" s="324"/>
      <c r="N77" s="324"/>
      <c r="O77" s="324"/>
      <c r="P77" s="239"/>
      <c r="R77" s="146"/>
      <c r="S77" s="146"/>
      <c r="T77" s="146"/>
      <c r="U77" s="146"/>
      <c r="V77" s="146"/>
      <c r="W77" s="146"/>
      <c r="X77" s="146"/>
      <c r="Y77" s="146"/>
      <c r="AI77" s="323"/>
      <c r="AJ77" s="323"/>
      <c r="AK77" s="323"/>
      <c r="AL77" s="323"/>
      <c r="AM77" s="323"/>
    </row>
    <row r="78" spans="1:39">
      <c r="A78" s="324"/>
      <c r="B78" s="435" t="s">
        <v>865</v>
      </c>
      <c r="C78" s="434"/>
      <c r="D78" s="434"/>
      <c r="E78" s="434"/>
      <c r="F78" s="434"/>
      <c r="G78" s="434"/>
      <c r="H78" s="434"/>
      <c r="I78" s="238"/>
      <c r="J78" s="470"/>
      <c r="K78" s="324"/>
      <c r="L78" s="324"/>
      <c r="M78" s="324"/>
      <c r="N78" s="324"/>
      <c r="O78" s="324"/>
      <c r="P78" s="239"/>
      <c r="R78" s="146"/>
      <c r="S78" s="146"/>
      <c r="T78" s="146"/>
      <c r="U78" s="146"/>
      <c r="V78" s="146"/>
      <c r="W78" s="146"/>
      <c r="X78" s="146"/>
      <c r="Y78" s="146"/>
      <c r="AI78" s="323"/>
      <c r="AJ78" s="323"/>
      <c r="AK78" s="323"/>
      <c r="AL78" s="323"/>
      <c r="AM78" s="323"/>
    </row>
    <row r="79" spans="1:39" ht="72.5">
      <c r="A79" s="324"/>
      <c r="B79" s="319" t="s">
        <v>160</v>
      </c>
      <c r="C79" s="182" t="s">
        <v>104</v>
      </c>
      <c r="D79" s="463" t="s">
        <v>841</v>
      </c>
      <c r="E79" s="292" t="s">
        <v>60</v>
      </c>
      <c r="F79" s="292" t="s">
        <v>61</v>
      </c>
      <c r="G79" s="181" t="s">
        <v>62</v>
      </c>
      <c r="H79" s="181" t="s">
        <v>843</v>
      </c>
      <c r="I79" s="292" t="s">
        <v>844</v>
      </c>
      <c r="J79" s="324"/>
      <c r="K79" s="324"/>
      <c r="L79" s="324"/>
      <c r="M79" s="324"/>
      <c r="N79" s="324"/>
      <c r="O79" s="324"/>
      <c r="P79" s="239"/>
      <c r="R79" s="146"/>
      <c r="S79" s="146"/>
      <c r="T79" s="146"/>
      <c r="U79" s="146"/>
      <c r="V79" s="146"/>
      <c r="W79" s="146"/>
      <c r="X79" s="146"/>
      <c r="Y79" s="146"/>
      <c r="AI79" s="323"/>
      <c r="AJ79" s="323"/>
      <c r="AK79" s="323"/>
      <c r="AL79" s="323"/>
      <c r="AM79" s="323"/>
    </row>
    <row r="80" spans="1:39">
      <c r="A80" s="324"/>
      <c r="B80" s="391" t="s">
        <v>1049</v>
      </c>
      <c r="C80" s="165">
        <f>'Inputs and eligible population'!F73</f>
        <v>0</v>
      </c>
      <c r="D80" s="141">
        <f>($C66*$C80*'Financial impact (cash)'!D13)/60</f>
        <v>0</v>
      </c>
      <c r="E80" s="141">
        <f>($C66*$C80*'Financial impact (cash)'!E13)/60</f>
        <v>0</v>
      </c>
      <c r="F80" s="141">
        <f>($C66*$C80*'Financial impact (cash)'!F13)/60</f>
        <v>0</v>
      </c>
      <c r="G80" s="141">
        <f>($C66*$C80*'Financial impact (cash)'!G13)/60</f>
        <v>0</v>
      </c>
      <c r="H80" s="141">
        <f>($C66*$C80*'Financial impact (cash)'!H13)/60</f>
        <v>0</v>
      </c>
      <c r="I80" s="141">
        <f>($C66*$C80*'Financial impact (cash)'!I13)/60</f>
        <v>0</v>
      </c>
      <c r="J80" s="324"/>
      <c r="K80" s="324"/>
      <c r="L80" s="324"/>
      <c r="M80" s="324"/>
      <c r="N80" s="324"/>
      <c r="O80" s="324"/>
      <c r="P80" s="239"/>
      <c r="R80" s="146"/>
      <c r="S80" s="146"/>
      <c r="T80" s="146"/>
      <c r="U80" s="146"/>
      <c r="V80" s="146"/>
      <c r="W80" s="146"/>
      <c r="X80" s="146"/>
      <c r="Y80" s="146"/>
      <c r="AI80" s="323"/>
      <c r="AJ80" s="323"/>
      <c r="AK80" s="323"/>
      <c r="AL80" s="323"/>
      <c r="AM80" s="323"/>
    </row>
    <row r="81" spans="1:39">
      <c r="A81" s="324"/>
      <c r="B81" s="320"/>
      <c r="C81" s="320"/>
      <c r="D81" s="205">
        <f t="shared" ref="D81:I81" si="39">SUM(D80:D80)</f>
        <v>0</v>
      </c>
      <c r="E81" s="205">
        <f t="shared" si="39"/>
        <v>0</v>
      </c>
      <c r="F81" s="205">
        <f t="shared" si="39"/>
        <v>0</v>
      </c>
      <c r="G81" s="205">
        <f t="shared" si="39"/>
        <v>0</v>
      </c>
      <c r="H81" s="205">
        <f t="shared" si="39"/>
        <v>0</v>
      </c>
      <c r="I81" s="205">
        <f t="shared" si="39"/>
        <v>0</v>
      </c>
      <c r="J81" s="324"/>
      <c r="K81" s="324"/>
      <c r="L81" s="324"/>
      <c r="M81" s="324"/>
      <c r="N81" s="324"/>
      <c r="O81" s="324"/>
      <c r="P81" s="239"/>
      <c r="R81" s="146"/>
      <c r="S81" s="146"/>
      <c r="T81" s="146"/>
      <c r="U81" s="146"/>
      <c r="V81" s="146"/>
      <c r="W81" s="146"/>
      <c r="X81" s="146"/>
      <c r="Y81" s="146"/>
      <c r="AI81" s="323"/>
      <c r="AJ81" s="323"/>
      <c r="AK81" s="323"/>
      <c r="AL81" s="323"/>
      <c r="AM81" s="323"/>
    </row>
    <row r="82" spans="1:39">
      <c r="A82" s="324"/>
      <c r="B82" s="320"/>
      <c r="C82" s="320"/>
      <c r="D82" s="322" t="s">
        <v>866</v>
      </c>
      <c r="E82" s="205">
        <f>E81-$D$81</f>
        <v>0</v>
      </c>
      <c r="F82" s="205">
        <f>F81-$D$81</f>
        <v>0</v>
      </c>
      <c r="G82" s="205">
        <f>G81-$D$81</f>
        <v>0</v>
      </c>
      <c r="H82" s="205">
        <f>H81-$D$81</f>
        <v>0</v>
      </c>
      <c r="I82" s="205">
        <f>I81-$D$81</f>
        <v>0</v>
      </c>
      <c r="J82" s="324"/>
      <c r="K82" s="324"/>
      <c r="L82" s="324"/>
      <c r="M82" s="324"/>
      <c r="N82" s="324"/>
      <c r="O82" s="324"/>
      <c r="P82" s="239"/>
      <c r="R82" s="146"/>
      <c r="S82" s="146"/>
      <c r="T82" s="146"/>
      <c r="U82" s="146"/>
      <c r="V82" s="146"/>
      <c r="W82" s="146"/>
      <c r="X82" s="146"/>
      <c r="Y82" s="146"/>
      <c r="AI82" s="323"/>
      <c r="AJ82" s="323"/>
      <c r="AK82" s="323"/>
      <c r="AL82" s="323"/>
      <c r="AM82" s="323"/>
    </row>
    <row r="83" spans="1:39">
      <c r="A83" s="324"/>
      <c r="B83" s="370"/>
      <c r="C83" s="239"/>
      <c r="D83" s="239"/>
      <c r="E83" s="239"/>
      <c r="F83" s="239"/>
      <c r="G83" s="239"/>
      <c r="H83" s="239"/>
      <c r="I83" s="239"/>
      <c r="J83" s="239"/>
      <c r="K83" s="324"/>
      <c r="L83" s="324"/>
      <c r="M83" s="324"/>
      <c r="N83" s="324"/>
      <c r="O83" s="324"/>
      <c r="P83" s="239"/>
      <c r="R83" s="146"/>
      <c r="S83" s="146"/>
      <c r="T83" s="146"/>
      <c r="U83" s="146"/>
      <c r="V83" s="146"/>
      <c r="W83" s="146"/>
      <c r="X83" s="146"/>
      <c r="Y83" s="146"/>
      <c r="AI83" s="323"/>
      <c r="AJ83" s="323"/>
      <c r="AK83" s="323"/>
      <c r="AL83" s="323"/>
      <c r="AM83" s="323"/>
    </row>
    <row r="84" spans="1:39">
      <c r="A84" s="324"/>
      <c r="B84" s="435" t="s">
        <v>217</v>
      </c>
      <c r="C84" s="434"/>
      <c r="D84" s="434"/>
      <c r="E84" s="434"/>
      <c r="F84" s="434"/>
      <c r="G84" s="434"/>
      <c r="H84" s="434"/>
      <c r="I84" s="238"/>
      <c r="J84" s="470"/>
      <c r="K84" s="324"/>
      <c r="L84" s="324"/>
      <c r="M84" s="324"/>
      <c r="N84" s="324"/>
      <c r="O84" s="324"/>
      <c r="P84" s="239"/>
      <c r="U84" s="146"/>
      <c r="AI84" s="323"/>
      <c r="AJ84" s="323"/>
      <c r="AK84" s="323"/>
      <c r="AL84" s="323"/>
      <c r="AM84" s="323"/>
    </row>
    <row r="85" spans="1:39" ht="58">
      <c r="A85" s="324"/>
      <c r="B85" s="319" t="s">
        <v>160</v>
      </c>
      <c r="C85" s="182" t="s">
        <v>105</v>
      </c>
      <c r="D85" s="463" t="s">
        <v>841</v>
      </c>
      <c r="E85" s="292" t="s">
        <v>60</v>
      </c>
      <c r="F85" s="292" t="s">
        <v>61</v>
      </c>
      <c r="G85" s="181" t="s">
        <v>62</v>
      </c>
      <c r="H85" s="181" t="s">
        <v>843</v>
      </c>
      <c r="I85" s="292" t="s">
        <v>844</v>
      </c>
      <c r="J85" s="324"/>
      <c r="K85" s="324"/>
      <c r="L85" s="324"/>
      <c r="M85" s="324"/>
      <c r="N85" s="324"/>
      <c r="O85" s="324"/>
      <c r="P85" s="239"/>
      <c r="U85" s="146"/>
      <c r="AI85" s="323"/>
      <c r="AJ85" s="323"/>
      <c r="AK85" s="323"/>
      <c r="AL85" s="323"/>
      <c r="AM85" s="323"/>
    </row>
    <row r="86" spans="1:39">
      <c r="A86" s="324"/>
      <c r="B86" s="391" t="s">
        <v>1049</v>
      </c>
      <c r="C86" s="165">
        <f>'Inputs and eligible population'!F74</f>
        <v>0</v>
      </c>
      <c r="D86" s="141">
        <f>($C66*$C86*'Financial impact (cash)'!D15)/60</f>
        <v>0</v>
      </c>
      <c r="E86" s="141">
        <f>($C66*$C86*'Financial impact (cash)'!E15)/60</f>
        <v>0</v>
      </c>
      <c r="F86" s="141">
        <f>($C66*$C86*'Financial impact (cash)'!F15)/60</f>
        <v>0</v>
      </c>
      <c r="G86" s="141">
        <f>($C66*$C86*'Financial impact (cash)'!G15)/60</f>
        <v>0</v>
      </c>
      <c r="H86" s="141">
        <f>($C66*$C86*'Financial impact (cash)'!H15)/60</f>
        <v>0</v>
      </c>
      <c r="I86" s="141">
        <f>($C66*$C86*'Financial impact (cash)'!I15)/60</f>
        <v>0</v>
      </c>
      <c r="J86" s="324"/>
      <c r="K86" s="324"/>
      <c r="L86" s="324"/>
      <c r="M86" s="324"/>
      <c r="N86" s="324"/>
      <c r="O86" s="324"/>
      <c r="P86" s="239"/>
      <c r="U86" s="146"/>
      <c r="AI86" s="323"/>
      <c r="AJ86" s="323"/>
      <c r="AK86" s="323"/>
      <c r="AL86" s="323"/>
      <c r="AM86" s="323"/>
    </row>
    <row r="87" spans="1:39">
      <c r="A87" s="324"/>
      <c r="B87" s="320"/>
      <c r="C87" s="320"/>
      <c r="D87" s="205">
        <f t="shared" ref="D87:I87" si="40">SUM(D86:D86)</f>
        <v>0</v>
      </c>
      <c r="E87" s="205">
        <f t="shared" si="40"/>
        <v>0</v>
      </c>
      <c r="F87" s="205">
        <f t="shared" si="40"/>
        <v>0</v>
      </c>
      <c r="G87" s="205">
        <f t="shared" si="40"/>
        <v>0</v>
      </c>
      <c r="H87" s="205">
        <f t="shared" si="40"/>
        <v>0</v>
      </c>
      <c r="I87" s="205">
        <f t="shared" si="40"/>
        <v>0</v>
      </c>
      <c r="J87" s="324"/>
      <c r="K87" s="324"/>
      <c r="L87" s="324"/>
      <c r="M87" s="324"/>
      <c r="N87" s="324"/>
      <c r="O87" s="324"/>
      <c r="P87" s="239"/>
      <c r="Q87" s="146"/>
      <c r="R87" s="146"/>
      <c r="S87" s="146"/>
      <c r="T87" s="146"/>
      <c r="U87" s="146"/>
      <c r="V87" s="146"/>
      <c r="W87" s="146"/>
      <c r="X87" s="146"/>
      <c r="Y87" s="146"/>
      <c r="AI87" s="323"/>
      <c r="AJ87" s="323"/>
      <c r="AK87" s="323"/>
      <c r="AL87" s="323"/>
      <c r="AM87" s="323"/>
    </row>
    <row r="88" spans="1:39">
      <c r="A88" s="324"/>
      <c r="B88" s="348"/>
      <c r="C88" s="320"/>
      <c r="D88" s="322" t="s">
        <v>867</v>
      </c>
      <c r="E88" s="205">
        <f>E87-$D$87</f>
        <v>0</v>
      </c>
      <c r="F88" s="205">
        <f>F87-$D$87</f>
        <v>0</v>
      </c>
      <c r="G88" s="205">
        <f>G87-$D$87</f>
        <v>0</v>
      </c>
      <c r="H88" s="205">
        <f>H87-$D$87</f>
        <v>0</v>
      </c>
      <c r="I88" s="205">
        <f>I87-$D$87</f>
        <v>0</v>
      </c>
      <c r="J88" s="324"/>
      <c r="K88" s="324"/>
      <c r="L88" s="324"/>
      <c r="M88" s="324"/>
      <c r="N88" s="324"/>
      <c r="O88" s="324"/>
      <c r="P88" s="239"/>
      <c r="Q88" s="146"/>
      <c r="R88" s="146"/>
      <c r="S88" s="146"/>
      <c r="T88" s="146"/>
      <c r="U88" s="146"/>
      <c r="V88" s="146"/>
      <c r="W88" s="146"/>
      <c r="X88" s="146"/>
      <c r="Y88" s="146"/>
      <c r="AI88" s="323"/>
      <c r="AJ88" s="323"/>
      <c r="AK88" s="323"/>
      <c r="AL88" s="323"/>
      <c r="AM88" s="323"/>
    </row>
    <row r="89" spans="1:39">
      <c r="A89" s="324"/>
      <c r="B89" s="370"/>
      <c r="C89" s="239"/>
      <c r="D89" s="239"/>
      <c r="E89" s="239"/>
      <c r="F89" s="239"/>
      <c r="G89" s="239"/>
      <c r="H89" s="239"/>
      <c r="I89" s="239"/>
      <c r="J89" s="324"/>
      <c r="K89" s="324"/>
      <c r="L89" s="324"/>
      <c r="M89" s="324"/>
      <c r="N89" s="324"/>
      <c r="O89" s="324"/>
      <c r="P89" s="239"/>
      <c r="Q89" s="146"/>
      <c r="R89" s="146"/>
      <c r="S89" s="146"/>
      <c r="T89" s="146"/>
      <c r="U89" s="146"/>
      <c r="V89" s="146"/>
      <c r="W89" s="146"/>
      <c r="X89" s="146"/>
      <c r="Y89" s="146"/>
      <c r="AI89" s="323"/>
      <c r="AJ89" s="323"/>
      <c r="AK89" s="323"/>
      <c r="AL89" s="323"/>
      <c r="AM89" s="323"/>
    </row>
    <row r="90" spans="1:39">
      <c r="A90" s="326"/>
      <c r="B90" s="373" t="s">
        <v>868</v>
      </c>
      <c r="C90" s="353"/>
      <c r="D90" s="352"/>
      <c r="E90" s="353"/>
      <c r="F90" s="354"/>
      <c r="G90" s="355"/>
      <c r="H90" s="355"/>
      <c r="I90" s="407"/>
      <c r="J90" s="326"/>
      <c r="K90" s="326"/>
      <c r="L90" s="326"/>
      <c r="M90" s="326"/>
      <c r="N90" s="326"/>
      <c r="O90" s="326"/>
      <c r="P90" s="326"/>
      <c r="Q90" s="146"/>
      <c r="R90" s="146"/>
      <c r="S90" s="146"/>
      <c r="T90" s="146"/>
      <c r="U90" s="146"/>
      <c r="V90" s="146"/>
      <c r="W90" s="146"/>
      <c r="X90" s="146"/>
      <c r="Y90" s="146"/>
      <c r="AI90" s="323"/>
      <c r="AJ90" s="323"/>
      <c r="AK90" s="323"/>
      <c r="AL90" s="323"/>
      <c r="AM90" s="323"/>
    </row>
    <row r="91" spans="1:39">
      <c r="A91" s="326"/>
      <c r="B91" s="436" t="s">
        <v>869</v>
      </c>
      <c r="C91" s="437"/>
      <c r="D91" s="437"/>
      <c r="E91" s="437"/>
      <c r="F91" s="437"/>
      <c r="G91" s="437"/>
      <c r="H91" s="437"/>
      <c r="I91" s="242"/>
      <c r="J91" s="326"/>
      <c r="K91" s="326"/>
      <c r="L91" s="326"/>
      <c r="M91" s="326"/>
      <c r="N91" s="326"/>
      <c r="O91" s="326"/>
      <c r="P91" s="326"/>
      <c r="Q91" s="146"/>
      <c r="R91" s="146"/>
      <c r="S91" s="146"/>
      <c r="T91" s="146"/>
      <c r="U91" s="146"/>
      <c r="V91" s="146"/>
      <c r="W91" s="146"/>
      <c r="X91" s="146"/>
      <c r="Y91" s="146"/>
      <c r="AI91" s="323"/>
      <c r="AJ91" s="323"/>
      <c r="AK91" s="323"/>
      <c r="AL91" s="323"/>
      <c r="AM91" s="323"/>
    </row>
    <row r="92" spans="1:39" ht="72.5">
      <c r="A92" s="326"/>
      <c r="B92" s="316" t="s">
        <v>160</v>
      </c>
      <c r="C92" s="182" t="s">
        <v>870</v>
      </c>
      <c r="D92" s="463" t="s">
        <v>841</v>
      </c>
      <c r="E92" s="292" t="s">
        <v>60</v>
      </c>
      <c r="F92" s="292" t="s">
        <v>61</v>
      </c>
      <c r="G92" s="181" t="s">
        <v>62</v>
      </c>
      <c r="H92" s="181" t="s">
        <v>843</v>
      </c>
      <c r="I92" s="292" t="s">
        <v>844</v>
      </c>
      <c r="J92" s="326"/>
      <c r="K92" s="326"/>
      <c r="L92" s="326"/>
      <c r="M92" s="326"/>
      <c r="N92" s="326"/>
      <c r="O92" s="326"/>
      <c r="P92" s="326"/>
      <c r="Q92" s="146"/>
      <c r="R92" s="146"/>
      <c r="S92" s="146"/>
      <c r="T92" s="146"/>
      <c r="U92" s="146"/>
      <c r="V92" s="146"/>
      <c r="W92" s="146"/>
      <c r="X92" s="146"/>
      <c r="Y92" s="146"/>
      <c r="AI92" s="323"/>
      <c r="AJ92" s="323"/>
      <c r="AK92" s="323"/>
      <c r="AL92" s="323"/>
      <c r="AM92" s="323"/>
    </row>
    <row r="93" spans="1:39">
      <c r="A93" s="326"/>
      <c r="B93" s="391" t="s">
        <v>1049</v>
      </c>
      <c r="C93" s="165">
        <f>'Inputs and eligible population'!F75</f>
        <v>0</v>
      </c>
      <c r="D93" s="141">
        <f>D$7*'Inputs and eligible population'!E60*'Inputs and eligible population'!$F50*'Capacity (national prices)'!$C93</f>
        <v>0</v>
      </c>
      <c r="E93" s="141">
        <f>E$7*'Inputs and eligible population'!F60*'Inputs and eligible population'!$F50*'Capacity (national prices)'!$C93</f>
        <v>0</v>
      </c>
      <c r="F93" s="141">
        <f>F$7*'Inputs and eligible population'!G60*'Inputs and eligible population'!$F50*'Capacity (national prices)'!$C93</f>
        <v>0</v>
      </c>
      <c r="G93" s="141">
        <f>G$7*'Inputs and eligible population'!H60*'Inputs and eligible population'!$F50*'Capacity (national prices)'!$C93</f>
        <v>0</v>
      </c>
      <c r="H93" s="141">
        <f>H$7*'Inputs and eligible population'!I60*'Inputs and eligible population'!$F50*'Capacity (national prices)'!$C93</f>
        <v>0</v>
      </c>
      <c r="I93" s="141">
        <f>I$7*'Inputs and eligible population'!J60*'Inputs and eligible population'!$F50*'Capacity (national prices)'!$C93</f>
        <v>0</v>
      </c>
      <c r="J93" s="326"/>
      <c r="K93" s="326"/>
      <c r="L93" s="326"/>
      <c r="M93" s="326"/>
      <c r="N93" s="326"/>
      <c r="O93" s="326"/>
      <c r="P93" s="326"/>
      <c r="Q93" s="146"/>
      <c r="R93" s="146"/>
      <c r="S93" s="146"/>
      <c r="T93" s="146"/>
      <c r="U93" s="146"/>
      <c r="V93" s="146"/>
      <c r="W93" s="146"/>
      <c r="X93" s="146"/>
      <c r="Y93" s="146"/>
      <c r="AI93" s="323"/>
      <c r="AJ93" s="323"/>
      <c r="AK93" s="323"/>
      <c r="AL93" s="323"/>
      <c r="AM93" s="323"/>
    </row>
    <row r="94" spans="1:39">
      <c r="A94" s="326"/>
      <c r="B94" s="320"/>
      <c r="C94" s="228"/>
      <c r="D94" s="205">
        <f t="shared" ref="D94:I94" si="41">SUM(D93:D93)</f>
        <v>0</v>
      </c>
      <c r="E94" s="205">
        <f t="shared" si="41"/>
        <v>0</v>
      </c>
      <c r="F94" s="205">
        <f t="shared" si="41"/>
        <v>0</v>
      </c>
      <c r="G94" s="205">
        <f t="shared" si="41"/>
        <v>0</v>
      </c>
      <c r="H94" s="205">
        <f t="shared" si="41"/>
        <v>0</v>
      </c>
      <c r="I94" s="205">
        <f t="shared" si="41"/>
        <v>0</v>
      </c>
      <c r="J94" s="326"/>
      <c r="K94" s="326"/>
      <c r="L94" s="326"/>
      <c r="M94" s="326"/>
      <c r="N94" s="326"/>
      <c r="O94" s="326"/>
      <c r="P94" s="326"/>
      <c r="Q94" s="146"/>
      <c r="R94" s="146"/>
      <c r="S94" s="146"/>
      <c r="T94" s="146"/>
      <c r="U94" s="146"/>
      <c r="V94" s="146"/>
      <c r="W94" s="146"/>
      <c r="X94" s="146"/>
      <c r="Y94" s="146"/>
      <c r="AI94" s="323"/>
      <c r="AJ94" s="323"/>
      <c r="AK94" s="323"/>
      <c r="AL94" s="323"/>
      <c r="AM94" s="323"/>
    </row>
    <row r="95" spans="1:39">
      <c r="A95" s="326"/>
      <c r="B95" s="348"/>
      <c r="C95" s="247"/>
      <c r="D95" s="322" t="s">
        <v>219</v>
      </c>
      <c r="E95" s="205">
        <f>E94-$D$94</f>
        <v>0</v>
      </c>
      <c r="F95" s="205">
        <f>F94-$D$94</f>
        <v>0</v>
      </c>
      <c r="G95" s="205">
        <f>G94-$D$94</f>
        <v>0</v>
      </c>
      <c r="H95" s="205">
        <f>H94-$D$94</f>
        <v>0</v>
      </c>
      <c r="I95" s="205">
        <f>I94-$D$94</f>
        <v>0</v>
      </c>
      <c r="J95" s="326"/>
      <c r="K95" s="326"/>
      <c r="L95" s="326"/>
      <c r="M95" s="326"/>
      <c r="N95" s="326"/>
      <c r="O95" s="326"/>
      <c r="P95" s="326"/>
      <c r="Q95" s="146"/>
      <c r="R95" s="146"/>
      <c r="S95" s="146"/>
      <c r="T95" s="146"/>
      <c r="U95" s="146"/>
      <c r="V95" s="146"/>
      <c r="W95" s="146"/>
      <c r="X95" s="146"/>
      <c r="Y95" s="146"/>
      <c r="AI95" s="323"/>
      <c r="AJ95" s="323"/>
      <c r="AK95" s="323"/>
      <c r="AL95" s="323"/>
      <c r="AM95" s="323"/>
    </row>
    <row r="96" spans="1:39">
      <c r="A96" s="326"/>
      <c r="B96" s="374"/>
      <c r="C96" s="437"/>
      <c r="D96" s="243"/>
      <c r="E96" s="243"/>
      <c r="F96" s="243"/>
      <c r="G96" s="243"/>
      <c r="H96" s="355"/>
      <c r="I96" s="355"/>
      <c r="J96" s="326"/>
      <c r="K96" s="326"/>
      <c r="L96" s="326"/>
      <c r="M96" s="326"/>
      <c r="N96" s="326"/>
      <c r="O96" s="326"/>
      <c r="P96" s="326"/>
      <c r="Q96" s="146"/>
      <c r="R96" s="146"/>
      <c r="S96" s="146"/>
      <c r="T96" s="146"/>
      <c r="U96" s="146"/>
      <c r="V96" s="146"/>
      <c r="W96" s="146"/>
      <c r="X96" s="146"/>
      <c r="Y96" s="146"/>
      <c r="AI96" s="323"/>
      <c r="AJ96" s="323"/>
      <c r="AK96" s="323"/>
      <c r="AL96" s="323"/>
      <c r="AM96" s="323"/>
    </row>
    <row r="97" spans="1:39">
      <c r="A97" s="326"/>
      <c r="B97" s="436" t="s">
        <v>871</v>
      </c>
      <c r="C97" s="437"/>
      <c r="D97" s="437"/>
      <c r="E97" s="437"/>
      <c r="F97" s="437"/>
      <c r="G97" s="437"/>
      <c r="H97" s="437"/>
      <c r="I97" s="242"/>
      <c r="J97" s="326"/>
      <c r="K97" s="326"/>
      <c r="L97" s="326"/>
      <c r="M97" s="326"/>
      <c r="N97" s="326"/>
      <c r="O97" s="326"/>
      <c r="P97" s="326"/>
      <c r="Q97" s="146"/>
      <c r="R97" s="146"/>
      <c r="S97" s="146"/>
      <c r="T97" s="146"/>
      <c r="U97" s="146"/>
      <c r="V97" s="146"/>
      <c r="W97" s="146"/>
      <c r="X97" s="146"/>
      <c r="Y97" s="146"/>
      <c r="AI97" s="323"/>
      <c r="AJ97" s="323"/>
      <c r="AK97" s="323"/>
      <c r="AL97" s="323"/>
      <c r="AM97" s="323"/>
    </row>
    <row r="98" spans="1:39" ht="72.5">
      <c r="A98" s="326"/>
      <c r="B98" s="316" t="s">
        <v>160</v>
      </c>
      <c r="C98" s="182" t="s">
        <v>872</v>
      </c>
      <c r="D98" s="463" t="s">
        <v>841</v>
      </c>
      <c r="E98" s="292" t="s">
        <v>60</v>
      </c>
      <c r="F98" s="292" t="s">
        <v>61</v>
      </c>
      <c r="G98" s="181" t="s">
        <v>62</v>
      </c>
      <c r="H98" s="181" t="s">
        <v>843</v>
      </c>
      <c r="I98" s="292" t="s">
        <v>844</v>
      </c>
      <c r="J98" s="326"/>
      <c r="K98" s="326"/>
      <c r="L98" s="326"/>
      <c r="M98" s="326"/>
      <c r="N98" s="326"/>
      <c r="O98" s="326"/>
      <c r="P98" s="326"/>
      <c r="Q98" s="146"/>
      <c r="R98" s="146"/>
      <c r="S98" s="146"/>
      <c r="T98" s="146"/>
      <c r="U98" s="146"/>
      <c r="V98" s="146"/>
      <c r="W98" s="146"/>
      <c r="X98" s="146"/>
      <c r="Y98" s="146"/>
      <c r="AI98" s="323"/>
      <c r="AJ98" s="323"/>
      <c r="AK98" s="323"/>
      <c r="AL98" s="323"/>
      <c r="AM98" s="323"/>
    </row>
    <row r="99" spans="1:39">
      <c r="A99" s="326"/>
      <c r="B99" s="391" t="s">
        <v>1049</v>
      </c>
      <c r="C99" s="165">
        <f>'Inputs and eligible population'!F76</f>
        <v>0</v>
      </c>
      <c r="D99" s="141">
        <f>D$7*'Inputs and eligible population'!E60*'Inputs and eligible population'!$F50*'Capacity (national prices)'!$C99</f>
        <v>0</v>
      </c>
      <c r="E99" s="141">
        <f>E$7*'Inputs and eligible population'!F60*'Inputs and eligible population'!$F50*'Capacity (national prices)'!$C99</f>
        <v>0</v>
      </c>
      <c r="F99" s="141">
        <f>F$7*'Inputs and eligible population'!G60*'Inputs and eligible population'!$F50*'Capacity (national prices)'!$C99</f>
        <v>0</v>
      </c>
      <c r="G99" s="141">
        <f>G$7*'Inputs and eligible population'!H60*'Inputs and eligible population'!$F50*'Capacity (national prices)'!$C99</f>
        <v>0</v>
      </c>
      <c r="H99" s="141">
        <f>H$7*'Inputs and eligible population'!I60*'Inputs and eligible population'!$F50*'Capacity (national prices)'!$C99</f>
        <v>0</v>
      </c>
      <c r="I99" s="141">
        <f>I$7*'Inputs and eligible population'!J60*'Inputs and eligible population'!$F50*'Capacity (national prices)'!$C99</f>
        <v>0</v>
      </c>
      <c r="J99" s="326"/>
      <c r="K99" s="243"/>
      <c r="L99" s="243"/>
      <c r="M99" s="326"/>
      <c r="N99" s="243"/>
      <c r="O99" s="243"/>
      <c r="P99" s="243"/>
      <c r="Q99" s="146"/>
      <c r="R99" s="146"/>
      <c r="S99" s="146"/>
      <c r="T99" s="146"/>
      <c r="U99" s="146"/>
      <c r="V99" s="146"/>
      <c r="W99" s="146"/>
      <c r="X99" s="146"/>
      <c r="Y99" s="146"/>
      <c r="AI99" s="323"/>
      <c r="AJ99" s="323"/>
      <c r="AK99" s="323"/>
      <c r="AL99" s="323"/>
      <c r="AM99" s="323"/>
    </row>
    <row r="100" spans="1:39">
      <c r="A100" s="326"/>
      <c r="B100" s="320"/>
      <c r="C100" s="228"/>
      <c r="D100" s="205">
        <f t="shared" ref="D100:I100" si="42">SUM(D99:D99)</f>
        <v>0</v>
      </c>
      <c r="E100" s="205">
        <f t="shared" si="42"/>
        <v>0</v>
      </c>
      <c r="F100" s="205">
        <f t="shared" si="42"/>
        <v>0</v>
      </c>
      <c r="G100" s="205">
        <f t="shared" si="42"/>
        <v>0</v>
      </c>
      <c r="H100" s="205">
        <f t="shared" si="42"/>
        <v>0</v>
      </c>
      <c r="I100" s="205">
        <f t="shared" si="42"/>
        <v>0</v>
      </c>
      <c r="J100" s="326"/>
      <c r="K100" s="243"/>
      <c r="L100" s="243"/>
      <c r="M100" s="326"/>
      <c r="N100" s="243"/>
      <c r="O100" s="243"/>
      <c r="P100" s="243"/>
      <c r="U100" s="146"/>
    </row>
    <row r="101" spans="1:39">
      <c r="A101" s="326"/>
      <c r="B101" s="348"/>
      <c r="C101" s="247"/>
      <c r="D101" s="322" t="s">
        <v>220</v>
      </c>
      <c r="E101" s="205">
        <f>E100-$D$100</f>
        <v>0</v>
      </c>
      <c r="F101" s="205">
        <f>F100-$D$100</f>
        <v>0</v>
      </c>
      <c r="G101" s="205">
        <f>G100-$D$100</f>
        <v>0</v>
      </c>
      <c r="H101" s="205">
        <f>H100-$D$100</f>
        <v>0</v>
      </c>
      <c r="I101" s="205">
        <f>I100-$D$100</f>
        <v>0</v>
      </c>
      <c r="J101" s="326"/>
      <c r="K101" s="243"/>
      <c r="L101" s="243"/>
      <c r="M101" s="326"/>
      <c r="N101" s="243"/>
      <c r="O101" s="243"/>
      <c r="P101" s="243"/>
      <c r="U101" s="146"/>
    </row>
    <row r="102" spans="1:39">
      <c r="A102" s="326"/>
      <c r="B102" s="374"/>
      <c r="C102" s="437"/>
      <c r="D102" s="243"/>
      <c r="E102" s="243"/>
      <c r="F102" s="243"/>
      <c r="G102" s="243"/>
      <c r="H102" s="355"/>
      <c r="I102" s="355"/>
      <c r="J102" s="326"/>
      <c r="K102" s="243"/>
      <c r="L102" s="243"/>
      <c r="M102" s="326"/>
      <c r="N102" s="243"/>
      <c r="O102" s="243"/>
      <c r="P102" s="243"/>
      <c r="U102" s="146"/>
    </row>
    <row r="103" spans="1:39">
      <c r="A103" s="326"/>
      <c r="B103" s="436" t="s">
        <v>873</v>
      </c>
      <c r="C103" s="437"/>
      <c r="D103" s="437"/>
      <c r="E103" s="437"/>
      <c r="F103" s="437"/>
      <c r="G103" s="437"/>
      <c r="H103" s="437"/>
      <c r="I103" s="242"/>
      <c r="J103" s="326"/>
      <c r="K103" s="243"/>
      <c r="L103" s="243"/>
      <c r="M103" s="326"/>
      <c r="N103" s="243"/>
      <c r="O103" s="243"/>
      <c r="P103" s="243"/>
      <c r="U103" s="146"/>
    </row>
    <row r="104" spans="1:39" ht="72.5">
      <c r="A104" s="326"/>
      <c r="B104" s="316" t="s">
        <v>160</v>
      </c>
      <c r="C104" s="182" t="s">
        <v>874</v>
      </c>
      <c r="D104" s="463" t="s">
        <v>841</v>
      </c>
      <c r="E104" s="292" t="s">
        <v>60</v>
      </c>
      <c r="F104" s="292" t="s">
        <v>61</v>
      </c>
      <c r="G104" s="181" t="s">
        <v>62</v>
      </c>
      <c r="H104" s="181" t="s">
        <v>843</v>
      </c>
      <c r="I104" s="292" t="s">
        <v>844</v>
      </c>
      <c r="J104" s="326"/>
      <c r="K104" s="243"/>
      <c r="L104" s="243"/>
      <c r="M104" s="326"/>
      <c r="N104" s="243"/>
      <c r="O104" s="243"/>
      <c r="P104" s="243"/>
      <c r="U104" s="146"/>
    </row>
    <row r="105" spans="1:39">
      <c r="A105" s="326"/>
      <c r="B105" s="391" t="s">
        <v>1049</v>
      </c>
      <c r="C105" s="165">
        <f>'Inputs and eligible population'!F77</f>
        <v>0</v>
      </c>
      <c r="D105" s="141">
        <f>(D$7*'Inputs and eligible population'!E60*'Inputs and eligible population'!$F50*'Capacity (national prices)'!$C105)/60</f>
        <v>0</v>
      </c>
      <c r="E105" s="141">
        <f>(E$7*'Inputs and eligible population'!F60*'Inputs and eligible population'!$F50*'Capacity (national prices)'!$C105)/60</f>
        <v>0</v>
      </c>
      <c r="F105" s="141">
        <f>(F$7*'Inputs and eligible population'!G60*'Inputs and eligible population'!$F50*'Capacity (national prices)'!$C105)/60</f>
        <v>0</v>
      </c>
      <c r="G105" s="141">
        <f>(G$7*'Inputs and eligible population'!H60*'Inputs and eligible population'!$F50*'Capacity (national prices)'!$C105)/60</f>
        <v>0</v>
      </c>
      <c r="H105" s="141">
        <f>(H$7*'Inputs and eligible population'!I60*'Inputs and eligible population'!$F50*'Capacity (national prices)'!$C105)/60</f>
        <v>0</v>
      </c>
      <c r="I105" s="141">
        <f>(I$7*'Inputs and eligible population'!J60*'Inputs and eligible population'!$F50*'Capacity (national prices)'!$C105)/60</f>
        <v>0</v>
      </c>
      <c r="J105" s="326"/>
      <c r="K105" s="243"/>
      <c r="L105" s="243"/>
      <c r="M105" s="326"/>
      <c r="N105" s="243"/>
      <c r="O105" s="243"/>
      <c r="P105" s="243"/>
      <c r="U105" s="146"/>
    </row>
    <row r="106" spans="1:39">
      <c r="A106" s="326"/>
      <c r="B106" s="320"/>
      <c r="C106" s="228"/>
      <c r="D106" s="205">
        <f t="shared" ref="D106:I106" si="43">SUM(D105:D105)</f>
        <v>0</v>
      </c>
      <c r="E106" s="205">
        <f t="shared" si="43"/>
        <v>0</v>
      </c>
      <c r="F106" s="205">
        <f t="shared" si="43"/>
        <v>0</v>
      </c>
      <c r="G106" s="205">
        <f t="shared" si="43"/>
        <v>0</v>
      </c>
      <c r="H106" s="205">
        <f t="shared" si="43"/>
        <v>0</v>
      </c>
      <c r="I106" s="205">
        <f t="shared" si="43"/>
        <v>0</v>
      </c>
      <c r="J106" s="326"/>
      <c r="K106" s="243"/>
      <c r="L106" s="243"/>
      <c r="M106" s="326"/>
      <c r="N106" s="243"/>
      <c r="O106" s="243"/>
      <c r="P106" s="243"/>
      <c r="U106" s="146"/>
    </row>
    <row r="107" spans="1:39">
      <c r="A107" s="326"/>
      <c r="B107" s="348"/>
      <c r="C107" s="247"/>
      <c r="D107" s="322" t="s">
        <v>221</v>
      </c>
      <c r="E107" s="205">
        <f>E106-$D$106</f>
        <v>0</v>
      </c>
      <c r="F107" s="205">
        <f>F106-$D$106</f>
        <v>0</v>
      </c>
      <c r="G107" s="205">
        <f>G106-$D$106</f>
        <v>0</v>
      </c>
      <c r="H107" s="205">
        <f>H106-$D$106</f>
        <v>0</v>
      </c>
      <c r="I107" s="205">
        <f>I106-$D$106</f>
        <v>0</v>
      </c>
      <c r="J107" s="326"/>
      <c r="K107" s="243"/>
      <c r="L107" s="243"/>
      <c r="M107" s="326"/>
      <c r="N107" s="243"/>
      <c r="O107" s="243"/>
      <c r="P107" s="243"/>
      <c r="U107" s="146"/>
    </row>
    <row r="108" spans="1:39">
      <c r="A108" s="326"/>
      <c r="B108" s="374"/>
      <c r="C108" s="437"/>
      <c r="D108" s="243"/>
      <c r="E108" s="243"/>
      <c r="F108" s="243"/>
      <c r="G108" s="243"/>
      <c r="H108" s="355"/>
      <c r="I108" s="355"/>
      <c r="J108" s="326"/>
      <c r="K108" s="243"/>
      <c r="L108" s="243"/>
      <c r="M108" s="326"/>
      <c r="N108" s="243"/>
      <c r="O108" s="243"/>
      <c r="P108" s="243"/>
      <c r="U108" s="146"/>
    </row>
    <row r="109" spans="1:39">
      <c r="A109" s="326"/>
      <c r="B109" s="436" t="s">
        <v>875</v>
      </c>
      <c r="C109" s="437"/>
      <c r="D109" s="437"/>
      <c r="E109" s="437"/>
      <c r="F109" s="437"/>
      <c r="G109" s="437"/>
      <c r="H109" s="437"/>
      <c r="I109" s="242"/>
      <c r="J109" s="326"/>
      <c r="K109" s="243"/>
      <c r="L109" s="243"/>
      <c r="M109" s="326"/>
      <c r="N109" s="243"/>
      <c r="O109" s="243"/>
      <c r="P109" s="243"/>
      <c r="U109" s="146"/>
    </row>
    <row r="110" spans="1:39" ht="72.5">
      <c r="A110" s="326"/>
      <c r="B110" s="316" t="s">
        <v>160</v>
      </c>
      <c r="C110" s="182" t="s">
        <v>876</v>
      </c>
      <c r="D110" s="463" t="s">
        <v>841</v>
      </c>
      <c r="E110" s="292" t="s">
        <v>60</v>
      </c>
      <c r="F110" s="292" t="s">
        <v>61</v>
      </c>
      <c r="G110" s="181" t="s">
        <v>842</v>
      </c>
      <c r="H110" s="181" t="s">
        <v>843</v>
      </c>
      <c r="I110" s="292" t="s">
        <v>844</v>
      </c>
      <c r="J110" s="326"/>
      <c r="K110" s="243"/>
      <c r="L110" s="243"/>
      <c r="M110" s="326"/>
      <c r="N110" s="243"/>
      <c r="O110" s="243"/>
      <c r="P110" s="243"/>
      <c r="U110" s="146"/>
    </row>
    <row r="111" spans="1:39">
      <c r="A111" s="326"/>
      <c r="B111" s="391" t="s">
        <v>1049</v>
      </c>
      <c r="C111" s="165">
        <f>'Inputs and eligible population'!F78</f>
        <v>0</v>
      </c>
      <c r="D111" s="141">
        <f>(D$7*'Inputs and eligible population'!E60*'Inputs and eligible population'!$F50*'Capacity (national prices)'!$C111)/60</f>
        <v>0</v>
      </c>
      <c r="E111" s="141">
        <f>(E$7*'Inputs and eligible population'!F60*'Inputs and eligible population'!$F50*'Capacity (national prices)'!$C111)/60</f>
        <v>0</v>
      </c>
      <c r="F111" s="141">
        <f>(F$7*'Inputs and eligible population'!G60*'Inputs and eligible population'!$F50*'Capacity (national prices)'!$C111)/60</f>
        <v>0</v>
      </c>
      <c r="G111" s="141">
        <f>(G$7*'Inputs and eligible population'!H60*'Inputs and eligible population'!$F50*'Capacity (national prices)'!$C111)/60</f>
        <v>0</v>
      </c>
      <c r="H111" s="141">
        <f>(H$7*'Inputs and eligible population'!I60*'Inputs and eligible population'!$F50*'Capacity (national prices)'!$C111)/60</f>
        <v>0</v>
      </c>
      <c r="I111" s="141">
        <f>(I$7*'Inputs and eligible population'!J60*'Inputs and eligible population'!$F50*'Capacity (national prices)'!$C111)/60</f>
        <v>0</v>
      </c>
      <c r="J111" s="326"/>
      <c r="K111" s="243"/>
      <c r="L111" s="243"/>
      <c r="M111" s="326"/>
      <c r="N111" s="243"/>
      <c r="O111" s="243"/>
      <c r="P111" s="243"/>
      <c r="U111" s="146"/>
    </row>
    <row r="112" spans="1:39">
      <c r="A112" s="326"/>
      <c r="B112" s="320"/>
      <c r="C112" s="228"/>
      <c r="D112" s="205">
        <f t="shared" ref="D112:I112" si="44">SUM(D111:D111)</f>
        <v>0</v>
      </c>
      <c r="E112" s="205">
        <f t="shared" si="44"/>
        <v>0</v>
      </c>
      <c r="F112" s="205">
        <f t="shared" si="44"/>
        <v>0</v>
      </c>
      <c r="G112" s="205">
        <f t="shared" si="44"/>
        <v>0</v>
      </c>
      <c r="H112" s="205">
        <f t="shared" si="44"/>
        <v>0</v>
      </c>
      <c r="I112" s="205">
        <f t="shared" si="44"/>
        <v>0</v>
      </c>
      <c r="J112" s="326"/>
      <c r="K112" s="243"/>
      <c r="L112" s="243"/>
      <c r="M112" s="326"/>
      <c r="N112" s="243"/>
      <c r="O112" s="243"/>
      <c r="P112" s="243"/>
      <c r="U112" s="146"/>
    </row>
    <row r="113" spans="1:39">
      <c r="A113" s="326"/>
      <c r="B113" s="348"/>
      <c r="C113" s="247"/>
      <c r="D113" s="322" t="s">
        <v>222</v>
      </c>
      <c r="E113" s="205">
        <f>E112-$D$112</f>
        <v>0</v>
      </c>
      <c r="F113" s="205">
        <f>F112-$D$112</f>
        <v>0</v>
      </c>
      <c r="G113" s="205">
        <f>G112-$D$112</f>
        <v>0</v>
      </c>
      <c r="H113" s="205">
        <f>H112-$D$112</f>
        <v>0</v>
      </c>
      <c r="I113" s="205">
        <f>I112-$D$112</f>
        <v>0</v>
      </c>
      <c r="J113" s="326"/>
      <c r="K113" s="243"/>
      <c r="L113" s="243"/>
      <c r="M113" s="326"/>
      <c r="N113" s="243"/>
      <c r="O113" s="243"/>
      <c r="P113" s="243"/>
      <c r="U113" s="146"/>
    </row>
    <row r="114" spans="1:39">
      <c r="A114" s="326"/>
      <c r="B114" s="374"/>
      <c r="C114" s="437"/>
      <c r="D114" s="243"/>
      <c r="E114" s="243"/>
      <c r="F114" s="243"/>
      <c r="G114" s="243"/>
      <c r="H114" s="355"/>
      <c r="I114" s="355"/>
      <c r="J114" s="326"/>
      <c r="K114" s="243"/>
      <c r="L114" s="243"/>
      <c r="M114" s="326"/>
      <c r="N114" s="243"/>
      <c r="O114" s="243"/>
      <c r="P114" s="243"/>
      <c r="U114" s="146"/>
    </row>
    <row r="115" spans="1:39">
      <c r="A115" s="326"/>
      <c r="B115" s="436" t="s">
        <v>877</v>
      </c>
      <c r="C115" s="437"/>
      <c r="D115" s="437"/>
      <c r="E115" s="437"/>
      <c r="F115" s="437"/>
      <c r="G115" s="437"/>
      <c r="H115" s="437"/>
      <c r="I115" s="242"/>
      <c r="J115" s="326"/>
      <c r="K115" s="243"/>
      <c r="L115" s="243"/>
      <c r="M115" s="326"/>
      <c r="N115" s="243"/>
      <c r="O115" s="243"/>
      <c r="P115" s="243"/>
      <c r="U115" s="146"/>
    </row>
    <row r="116" spans="1:39" ht="43.5">
      <c r="A116" s="326"/>
      <c r="B116" s="316" t="s">
        <v>160</v>
      </c>
      <c r="C116" s="182" t="s">
        <v>111</v>
      </c>
      <c r="D116" s="463" t="s">
        <v>841</v>
      </c>
      <c r="E116" s="292" t="s">
        <v>60</v>
      </c>
      <c r="F116" s="292" t="s">
        <v>61</v>
      </c>
      <c r="G116" s="181" t="s">
        <v>62</v>
      </c>
      <c r="H116" s="181" t="s">
        <v>843</v>
      </c>
      <c r="I116" s="292" t="s">
        <v>844</v>
      </c>
      <c r="J116" s="326"/>
      <c r="K116" s="243"/>
      <c r="L116" s="243"/>
      <c r="M116" s="326"/>
      <c r="N116" s="243"/>
      <c r="O116" s="243"/>
      <c r="P116" s="243"/>
      <c r="U116" s="146"/>
    </row>
    <row r="117" spans="1:39">
      <c r="A117" s="326"/>
      <c r="B117" s="391" t="s">
        <v>1049</v>
      </c>
      <c r="C117" s="165">
        <f>'Inputs and eligible population'!F79</f>
        <v>5</v>
      </c>
      <c r="D117" s="141">
        <f>($C117*'Financial impact (cash)'!D13*'Inputs and eligible population'!$F50)/60</f>
        <v>0</v>
      </c>
      <c r="E117" s="141">
        <f>($C117*'Financial impact (cash)'!E13*'Inputs and eligible population'!$F50)/60</f>
        <v>114.19751076213819</v>
      </c>
      <c r="F117" s="141">
        <f>($C117*'Financial impact (cash)'!F13*'Inputs and eligible population'!$F50)/60</f>
        <v>145.8070004428692</v>
      </c>
      <c r="G117" s="141">
        <f>($C117*'Financial impact (cash)'!G13*'Inputs and eligible population'!$F50)/60</f>
        <v>146.97307209880262</v>
      </c>
      <c r="H117" s="141">
        <f>($C117*'Financial impact (cash)'!H13*'Inputs and eligible population'!$F50)/60</f>
        <v>148.14846925421568</v>
      </c>
      <c r="I117" s="141">
        <f>($C117*'Financial impact (cash)'!I13*'Inputs and eligible population'!$F50)/60</f>
        <v>149.33326648852233</v>
      </c>
      <c r="J117" s="326"/>
      <c r="K117" s="243"/>
      <c r="L117" s="243"/>
      <c r="M117" s="326"/>
      <c r="N117" s="243"/>
      <c r="O117" s="243"/>
      <c r="P117" s="243"/>
      <c r="U117" s="146"/>
    </row>
    <row r="118" spans="1:39">
      <c r="A118" s="326"/>
      <c r="B118" s="320"/>
      <c r="C118" s="228"/>
      <c r="D118" s="205">
        <f t="shared" ref="D118:I118" si="45">SUM(D117:D117)</f>
        <v>0</v>
      </c>
      <c r="E118" s="205">
        <f t="shared" si="45"/>
        <v>114.19751076213819</v>
      </c>
      <c r="F118" s="205">
        <f t="shared" si="45"/>
        <v>145.8070004428692</v>
      </c>
      <c r="G118" s="205">
        <f t="shared" si="45"/>
        <v>146.97307209880262</v>
      </c>
      <c r="H118" s="205">
        <f t="shared" si="45"/>
        <v>148.14846925421568</v>
      </c>
      <c r="I118" s="205">
        <f t="shared" si="45"/>
        <v>149.33326648852233</v>
      </c>
      <c r="J118" s="326"/>
      <c r="K118" s="243"/>
      <c r="L118" s="243"/>
      <c r="M118" s="326"/>
      <c r="N118" s="243"/>
      <c r="O118" s="243"/>
      <c r="P118" s="243"/>
      <c r="U118" s="146"/>
    </row>
    <row r="119" spans="1:39">
      <c r="A119" s="326"/>
      <c r="B119" s="348"/>
      <c r="C119" s="247"/>
      <c r="D119" s="322" t="s">
        <v>223</v>
      </c>
      <c r="E119" s="205">
        <f>E118-$D$118</f>
        <v>114.19751076213819</v>
      </c>
      <c r="F119" s="205">
        <f>F118-$D$118</f>
        <v>145.8070004428692</v>
      </c>
      <c r="G119" s="205">
        <f>G118-$D$118</f>
        <v>146.97307209880262</v>
      </c>
      <c r="H119" s="205">
        <f>H118-$D$118</f>
        <v>148.14846925421568</v>
      </c>
      <c r="I119" s="205">
        <f>I118-$D$118</f>
        <v>149.33326648852233</v>
      </c>
      <c r="J119" s="326"/>
      <c r="K119" s="243"/>
      <c r="L119" s="243"/>
      <c r="M119" s="326"/>
      <c r="N119" s="243"/>
      <c r="O119" s="243"/>
      <c r="P119" s="243"/>
      <c r="U119" s="146"/>
    </row>
    <row r="120" spans="1:39">
      <c r="A120" s="326"/>
      <c r="B120" s="374"/>
      <c r="C120" s="437"/>
      <c r="D120" s="243"/>
      <c r="E120" s="243"/>
      <c r="F120" s="243"/>
      <c r="G120" s="243"/>
      <c r="H120" s="243"/>
      <c r="I120" s="243"/>
      <c r="J120" s="243"/>
      <c r="K120" s="243"/>
      <c r="L120" s="243"/>
      <c r="M120" s="326"/>
      <c r="N120" s="243"/>
      <c r="O120" s="243"/>
      <c r="P120" s="243"/>
      <c r="Q120" s="146"/>
      <c r="R120" s="146"/>
      <c r="S120" s="146"/>
      <c r="T120" s="146"/>
      <c r="U120" s="146"/>
      <c r="V120" s="146"/>
      <c r="W120" s="146"/>
      <c r="X120" s="146"/>
      <c r="Y120" s="146"/>
      <c r="AI120" s="323"/>
      <c r="AJ120" s="323"/>
      <c r="AK120" s="323"/>
      <c r="AL120" s="323"/>
      <c r="AM120" s="323"/>
    </row>
    <row r="121" spans="1:39">
      <c r="A121" s="325"/>
      <c r="B121" s="371" t="s">
        <v>878</v>
      </c>
      <c r="C121" s="349"/>
      <c r="D121" s="349"/>
      <c r="E121" s="350"/>
      <c r="F121" s="351"/>
      <c r="G121" s="351"/>
      <c r="H121" s="351"/>
      <c r="I121" s="430"/>
      <c r="J121" s="325"/>
      <c r="K121" s="325"/>
      <c r="L121" s="325"/>
      <c r="M121" s="325"/>
      <c r="N121" s="325"/>
      <c r="O121" s="325"/>
      <c r="P121" s="241"/>
      <c r="Q121" s="146"/>
      <c r="R121" s="146"/>
      <c r="S121" s="146"/>
      <c r="T121" s="146"/>
      <c r="U121" s="146"/>
      <c r="V121" s="146"/>
      <c r="W121" s="146"/>
      <c r="X121" s="146"/>
      <c r="Y121" s="146"/>
      <c r="AI121" s="323"/>
      <c r="AJ121" s="323"/>
      <c r="AK121" s="323"/>
      <c r="AL121" s="323"/>
      <c r="AM121" s="323"/>
    </row>
    <row r="122" spans="1:39">
      <c r="A122" s="325"/>
      <c r="B122" s="438" t="s">
        <v>114</v>
      </c>
      <c r="C122" s="439"/>
      <c r="D122" s="439"/>
      <c r="E122" s="439"/>
      <c r="F122" s="439"/>
      <c r="G122" s="439"/>
      <c r="H122" s="439"/>
      <c r="I122" s="240"/>
      <c r="J122" s="241"/>
      <c r="K122" s="476"/>
      <c r="L122" s="476"/>
      <c r="M122" s="476"/>
      <c r="N122" s="476"/>
      <c r="O122" s="476"/>
      <c r="P122" s="476"/>
      <c r="Q122" s="146"/>
      <c r="R122" s="146"/>
      <c r="S122" s="146"/>
      <c r="T122" s="146"/>
      <c r="U122" s="146"/>
      <c r="V122" s="146"/>
      <c r="W122" s="146"/>
      <c r="X122" s="146"/>
      <c r="Y122" s="146"/>
      <c r="AI122" s="323"/>
      <c r="AJ122" s="323"/>
      <c r="AK122" s="323"/>
      <c r="AL122" s="323"/>
      <c r="AM122" s="323"/>
    </row>
    <row r="123" spans="1:39" ht="43.5">
      <c r="A123" s="325"/>
      <c r="B123" s="316" t="s">
        <v>160</v>
      </c>
      <c r="C123" s="182" t="s">
        <v>114</v>
      </c>
      <c r="D123" s="463" t="s">
        <v>841</v>
      </c>
      <c r="E123" s="292" t="s">
        <v>60</v>
      </c>
      <c r="F123" s="292" t="s">
        <v>61</v>
      </c>
      <c r="G123" s="181" t="s">
        <v>62</v>
      </c>
      <c r="H123" s="181" t="s">
        <v>843</v>
      </c>
      <c r="I123" s="292" t="s">
        <v>844</v>
      </c>
      <c r="J123" s="325"/>
      <c r="K123" s="463" t="s">
        <v>841</v>
      </c>
      <c r="L123" s="292" t="s">
        <v>60</v>
      </c>
      <c r="M123" s="292" t="s">
        <v>61</v>
      </c>
      <c r="N123" s="181" t="s">
        <v>842</v>
      </c>
      <c r="O123" s="181" t="s">
        <v>843</v>
      </c>
      <c r="P123" s="292" t="s">
        <v>844</v>
      </c>
      <c r="Q123" s="146"/>
      <c r="R123" s="146"/>
      <c r="S123" s="146"/>
      <c r="T123" s="146"/>
      <c r="U123" s="146"/>
      <c r="V123" s="146"/>
      <c r="W123" s="146"/>
      <c r="X123" s="146"/>
      <c r="Y123" s="146"/>
      <c r="AI123" s="323"/>
      <c r="AJ123" s="323"/>
      <c r="AK123" s="323"/>
      <c r="AL123" s="323"/>
      <c r="AM123" s="323"/>
    </row>
    <row r="124" spans="1:39">
      <c r="A124" s="325"/>
      <c r="B124" s="391" t="s">
        <v>1049</v>
      </c>
      <c r="C124" s="165">
        <f>'Inputs and eligible population'!F80</f>
        <v>12</v>
      </c>
      <c r="D124" s="141">
        <f>'Financial impact (cash)'!D15*'Capacity (national prices)'!$C124</f>
        <v>0</v>
      </c>
      <c r="E124" s="141">
        <f>'Financial impact (cash)'!E15*'Capacity (national prices)'!$C124</f>
        <v>2740.7402582913164</v>
      </c>
      <c r="F124" s="141">
        <f>'Financial impact (cash)'!F15*'Capacity (national prices)'!$C124</f>
        <v>3499.3680106288607</v>
      </c>
      <c r="G124" s="141">
        <f>'Financial impact (cash)'!G15*'Capacity (national prices)'!$C124</f>
        <v>3527.3537303712619</v>
      </c>
      <c r="H124" s="141">
        <f>'Financial impact (cash)'!H15*'Capacity (national prices)'!$C124</f>
        <v>3555.5632621011764</v>
      </c>
      <c r="I124" s="141">
        <f>'Financial impact (cash)'!I15*'Capacity (national prices)'!$C124</f>
        <v>3583.9983957245358</v>
      </c>
      <c r="J124" s="325"/>
      <c r="K124" s="329">
        <f>(D124*'Unit costs'!$N$34)/1000</f>
        <v>0</v>
      </c>
      <c r="L124" s="329">
        <f>(E124*'Unit costs'!$N$34)/1000</f>
        <v>394.66659719394954</v>
      </c>
      <c r="M124" s="329">
        <f>(F124*'Unit costs'!$N$34)/1000</f>
        <v>503.9089935305559</v>
      </c>
      <c r="N124" s="329">
        <f>(G124*'Unit costs'!$N$34)/1000</f>
        <v>507.93893717346174</v>
      </c>
      <c r="O124" s="329">
        <f>(H124*'Unit costs'!$N$34)/1000</f>
        <v>512.00110974256938</v>
      </c>
      <c r="P124" s="329">
        <f>(I124*'Unit costs'!$N$34)/1000</f>
        <v>516.09576898433318</v>
      </c>
      <c r="Q124" s="146"/>
      <c r="R124" s="146"/>
      <c r="S124" s="146"/>
      <c r="T124" s="146"/>
      <c r="U124" s="146"/>
      <c r="V124" s="146"/>
      <c r="W124" s="146"/>
      <c r="X124" s="146"/>
      <c r="Y124" s="146"/>
      <c r="AI124" s="323"/>
      <c r="AJ124" s="323"/>
      <c r="AK124" s="323"/>
      <c r="AL124" s="323"/>
      <c r="AM124" s="323"/>
    </row>
    <row r="125" spans="1:39">
      <c r="A125" s="325"/>
      <c r="B125" s="320"/>
      <c r="C125" s="228"/>
      <c r="D125" s="205">
        <f t="shared" ref="D125:I125" si="46">SUM(D124:D124)</f>
        <v>0</v>
      </c>
      <c r="E125" s="205">
        <f t="shared" si="46"/>
        <v>2740.7402582913164</v>
      </c>
      <c r="F125" s="205">
        <f t="shared" si="46"/>
        <v>3499.3680106288607</v>
      </c>
      <c r="G125" s="205">
        <f t="shared" si="46"/>
        <v>3527.3537303712619</v>
      </c>
      <c r="H125" s="205">
        <f t="shared" si="46"/>
        <v>3555.5632621011764</v>
      </c>
      <c r="I125" s="205">
        <f t="shared" si="46"/>
        <v>3583.9983957245358</v>
      </c>
      <c r="J125" s="325"/>
      <c r="K125" s="330">
        <f t="shared" ref="K125:P125" si="47">SUM(K124:K124)</f>
        <v>0</v>
      </c>
      <c r="L125" s="330">
        <f t="shared" si="47"/>
        <v>394.66659719394954</v>
      </c>
      <c r="M125" s="330">
        <f t="shared" si="47"/>
        <v>503.9089935305559</v>
      </c>
      <c r="N125" s="330">
        <f t="shared" si="47"/>
        <v>507.93893717346174</v>
      </c>
      <c r="O125" s="330">
        <f t="shared" si="47"/>
        <v>512.00110974256938</v>
      </c>
      <c r="P125" s="330">
        <f t="shared" si="47"/>
        <v>516.09576898433318</v>
      </c>
      <c r="Q125" s="146"/>
      <c r="R125" s="146"/>
      <c r="S125" s="146"/>
      <c r="T125" s="146"/>
      <c r="U125" s="146"/>
      <c r="V125" s="146"/>
      <c r="W125" s="146"/>
      <c r="X125" s="146"/>
      <c r="Y125" s="146"/>
      <c r="AI125" s="323"/>
      <c r="AJ125" s="323"/>
      <c r="AK125" s="323"/>
      <c r="AL125" s="323"/>
      <c r="AM125" s="323"/>
    </row>
    <row r="126" spans="1:39">
      <c r="A126" s="325"/>
      <c r="B126" s="348"/>
      <c r="C126" s="293"/>
      <c r="D126" s="322" t="s">
        <v>879</v>
      </c>
      <c r="E126" s="205">
        <f>E125-$D$125</f>
        <v>2740.7402582913164</v>
      </c>
      <c r="F126" s="205">
        <f>F125-$D$125</f>
        <v>3499.3680106288607</v>
      </c>
      <c r="G126" s="205">
        <f>G125-$D$125</f>
        <v>3527.3537303712619</v>
      </c>
      <c r="H126" s="205">
        <f>H125-$D$125</f>
        <v>3555.5632621011764</v>
      </c>
      <c r="I126" s="205">
        <f>I125-$D$125</f>
        <v>3583.9983957245358</v>
      </c>
      <c r="J126" s="325"/>
      <c r="K126" s="631"/>
      <c r="L126" s="330">
        <f>L125-$K$125</f>
        <v>394.66659719394954</v>
      </c>
      <c r="M126" s="330">
        <f t="shared" ref="M126:P126" si="48">M125-$K$125</f>
        <v>503.9089935305559</v>
      </c>
      <c r="N126" s="330">
        <f t="shared" si="48"/>
        <v>507.93893717346174</v>
      </c>
      <c r="O126" s="330">
        <f t="shared" si="48"/>
        <v>512.00110974256938</v>
      </c>
      <c r="P126" s="330">
        <f t="shared" si="48"/>
        <v>516.09576898433318</v>
      </c>
      <c r="U126" s="146"/>
    </row>
    <row r="127" spans="1:39">
      <c r="A127" s="325"/>
      <c r="B127" s="372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146"/>
      <c r="R127" s="146"/>
      <c r="S127" s="146"/>
      <c r="T127" s="146"/>
      <c r="U127" s="146"/>
      <c r="V127" s="146"/>
      <c r="W127" s="146"/>
      <c r="X127" s="146"/>
      <c r="Y127" s="146"/>
      <c r="AI127" s="323"/>
      <c r="AJ127" s="323"/>
      <c r="AK127" s="323"/>
      <c r="AL127" s="323"/>
      <c r="AM127" s="323"/>
    </row>
    <row r="128" spans="1:39">
      <c r="A128" s="327"/>
      <c r="B128" s="375" t="s">
        <v>880</v>
      </c>
      <c r="C128" s="356"/>
      <c r="D128" s="357"/>
      <c r="E128" s="358"/>
      <c r="F128" s="359"/>
      <c r="G128" s="359"/>
      <c r="H128" s="359"/>
      <c r="I128" s="477"/>
      <c r="J128" s="327"/>
      <c r="K128" s="327"/>
      <c r="L128" s="327"/>
      <c r="M128" s="327"/>
      <c r="N128" s="327"/>
      <c r="O128" s="327"/>
      <c r="P128" s="245"/>
      <c r="Q128" s="146"/>
      <c r="R128" s="146"/>
      <c r="S128" s="146"/>
      <c r="T128" s="146"/>
      <c r="U128" s="146"/>
      <c r="V128" s="146"/>
      <c r="W128" s="146"/>
      <c r="X128" s="146"/>
      <c r="Y128" s="146"/>
      <c r="AI128" s="323"/>
      <c r="AJ128" s="323"/>
      <c r="AK128" s="323"/>
      <c r="AL128" s="323"/>
      <c r="AM128" s="323"/>
    </row>
    <row r="129" spans="1:39">
      <c r="A129" s="327"/>
      <c r="B129" s="440" t="s">
        <v>1051</v>
      </c>
      <c r="C129" s="441"/>
      <c r="D129" s="441"/>
      <c r="E129" s="441"/>
      <c r="F129" s="441"/>
      <c r="G129" s="441"/>
      <c r="H129" s="441"/>
      <c r="I129" s="244"/>
      <c r="J129" s="245"/>
      <c r="K129" s="471"/>
      <c r="L129" s="471"/>
      <c r="M129" s="471"/>
      <c r="N129" s="471"/>
      <c r="O129" s="471"/>
      <c r="P129" s="471"/>
      <c r="Q129" s="146"/>
      <c r="R129" s="146"/>
      <c r="S129" s="146"/>
      <c r="T129" s="146"/>
      <c r="U129" s="146"/>
      <c r="V129" s="146"/>
      <c r="W129" s="146"/>
      <c r="X129" s="146"/>
      <c r="Y129" s="146"/>
      <c r="AI129" s="323"/>
      <c r="AJ129" s="323"/>
      <c r="AK129" s="323"/>
      <c r="AL129" s="323"/>
      <c r="AM129" s="323"/>
    </row>
    <row r="130" spans="1:39" ht="43.5">
      <c r="A130" s="327"/>
      <c r="B130" s="316" t="s">
        <v>160</v>
      </c>
      <c r="C130" s="182" t="s">
        <v>1101</v>
      </c>
      <c r="D130" s="463" t="s">
        <v>841</v>
      </c>
      <c r="E130" s="292" t="s">
        <v>60</v>
      </c>
      <c r="F130" s="292" t="s">
        <v>61</v>
      </c>
      <c r="G130" s="181" t="s">
        <v>62</v>
      </c>
      <c r="H130" s="181" t="s">
        <v>843</v>
      </c>
      <c r="I130" s="292" t="s">
        <v>844</v>
      </c>
      <c r="J130" s="327"/>
      <c r="K130" s="463" t="s">
        <v>841</v>
      </c>
      <c r="L130" s="292" t="s">
        <v>60</v>
      </c>
      <c r="M130" s="292" t="s">
        <v>61</v>
      </c>
      <c r="N130" s="181" t="s">
        <v>842</v>
      </c>
      <c r="O130" s="181" t="s">
        <v>843</v>
      </c>
      <c r="P130" s="292" t="s">
        <v>844</v>
      </c>
      <c r="Q130" s="146"/>
      <c r="R130" s="146"/>
      <c r="S130" s="146"/>
      <c r="T130" s="146"/>
      <c r="U130" s="146"/>
      <c r="V130" s="146"/>
      <c r="W130" s="146"/>
      <c r="X130" s="146"/>
      <c r="Y130" s="146"/>
      <c r="AI130" s="323"/>
      <c r="AJ130" s="323"/>
      <c r="AK130" s="323"/>
      <c r="AL130" s="323"/>
      <c r="AM130" s="323"/>
    </row>
    <row r="131" spans="1:39">
      <c r="A131" s="327"/>
      <c r="B131" s="391" t="s">
        <v>1049</v>
      </c>
      <c r="C131" s="165">
        <f>'Inputs and eligible population'!F81</f>
        <v>12</v>
      </c>
      <c r="D131" s="141">
        <f>D$7*'Inputs and eligible population'!E60*'Capacity (national prices)'!$C131</f>
        <v>0</v>
      </c>
      <c r="E131" s="141">
        <f>E$7*'Inputs and eligible population'!F60*'Capacity (national prices)'!$C131</f>
        <v>2740.7402582913164</v>
      </c>
      <c r="F131" s="141">
        <f>F$7*'Inputs and eligible population'!G60*'Capacity (national prices)'!$C131</f>
        <v>3499.3680106288607</v>
      </c>
      <c r="G131" s="141">
        <f>G$7*'Inputs and eligible population'!H60*'Capacity (national prices)'!$C131</f>
        <v>3527.3537303712619</v>
      </c>
      <c r="H131" s="141">
        <f>H$7*'Inputs and eligible population'!I60*'Capacity (national prices)'!$C131</f>
        <v>3555.5632621011764</v>
      </c>
      <c r="I131" s="141">
        <f>I$7*'Inputs and eligible population'!J60*'Capacity (national prices)'!$C131</f>
        <v>3583.9983957245358</v>
      </c>
      <c r="J131" s="327"/>
      <c r="K131" s="329">
        <f>(D131*'Unit costs'!$N$41)/1000</f>
        <v>0</v>
      </c>
      <c r="L131" s="329">
        <f>(E131*'Unit costs'!$N$41)/1000</f>
        <v>6.5503692173162467</v>
      </c>
      <c r="M131" s="329">
        <f>(F131*'Unit costs'!$N$41)/1000</f>
        <v>8.3634895454029774</v>
      </c>
      <c r="N131" s="329">
        <f>(G131*'Unit costs'!$N$41)/1000</f>
        <v>8.4303754155873154</v>
      </c>
      <c r="O131" s="329">
        <f>(H131*'Unit costs'!$N$41)/1000</f>
        <v>8.4977961964218114</v>
      </c>
      <c r="P131" s="329">
        <f>(I131*'Unit costs'!$N$41)/1000</f>
        <v>8.5657561657816412</v>
      </c>
      <c r="Q131" s="146"/>
      <c r="R131" s="146"/>
      <c r="S131" s="146"/>
      <c r="T131" s="146"/>
      <c r="U131" s="146"/>
      <c r="V131" s="146"/>
      <c r="W131" s="146"/>
      <c r="X131" s="146"/>
      <c r="Y131" s="146"/>
      <c r="AI131" s="323"/>
      <c r="AJ131" s="323"/>
      <c r="AK131" s="323"/>
      <c r="AL131" s="323"/>
      <c r="AM131" s="323"/>
    </row>
    <row r="132" spans="1:39">
      <c r="A132" s="327"/>
      <c r="B132" s="320"/>
      <c r="C132" s="228"/>
      <c r="D132" s="205">
        <f t="shared" ref="D132:I132" si="49">SUM(D131:D131)</f>
        <v>0</v>
      </c>
      <c r="E132" s="205">
        <f t="shared" si="49"/>
        <v>2740.7402582913164</v>
      </c>
      <c r="F132" s="205">
        <f t="shared" si="49"/>
        <v>3499.3680106288607</v>
      </c>
      <c r="G132" s="205">
        <f t="shared" si="49"/>
        <v>3527.3537303712619</v>
      </c>
      <c r="H132" s="205">
        <f t="shared" si="49"/>
        <v>3555.5632621011764</v>
      </c>
      <c r="I132" s="205">
        <f t="shared" si="49"/>
        <v>3583.9983957245358</v>
      </c>
      <c r="J132" s="327"/>
      <c r="K132" s="330">
        <f t="shared" ref="K132:P132" si="50">SUM(K131:K131)</f>
        <v>0</v>
      </c>
      <c r="L132" s="330">
        <f t="shared" si="50"/>
        <v>6.5503692173162467</v>
      </c>
      <c r="M132" s="330">
        <f t="shared" si="50"/>
        <v>8.3634895454029774</v>
      </c>
      <c r="N132" s="330">
        <f t="shared" si="50"/>
        <v>8.4303754155873154</v>
      </c>
      <c r="O132" s="330">
        <f t="shared" si="50"/>
        <v>8.4977961964218114</v>
      </c>
      <c r="P132" s="330">
        <f t="shared" si="50"/>
        <v>8.5657561657816412</v>
      </c>
      <c r="Q132" s="146"/>
      <c r="R132" s="146"/>
      <c r="S132" s="146"/>
      <c r="T132" s="146"/>
      <c r="U132" s="146"/>
      <c r="V132" s="146"/>
      <c r="W132" s="146"/>
      <c r="X132" s="146"/>
      <c r="Y132" s="146"/>
      <c r="AI132" s="323"/>
      <c r="AJ132" s="323"/>
      <c r="AK132" s="323"/>
      <c r="AL132" s="323"/>
      <c r="AM132" s="323"/>
    </row>
    <row r="133" spans="1:39">
      <c r="A133" s="327"/>
      <c r="B133" s="348"/>
      <c r="C133" s="293"/>
      <c r="D133" s="322" t="s">
        <v>1098</v>
      </c>
      <c r="E133" s="205">
        <f>E132-$D$132</f>
        <v>2740.7402582913164</v>
      </c>
      <c r="F133" s="205">
        <f>F132-$D$132</f>
        <v>3499.3680106288607</v>
      </c>
      <c r="G133" s="205">
        <f>G132-$D$132</f>
        <v>3527.3537303712619</v>
      </c>
      <c r="H133" s="205">
        <f>H132-$D$132</f>
        <v>3555.5632621011764</v>
      </c>
      <c r="I133" s="205">
        <f>I132-$D$132</f>
        <v>3583.9983957245358</v>
      </c>
      <c r="J133" s="327"/>
      <c r="K133" s="632"/>
      <c r="L133" s="330">
        <f>L132-$K$132</f>
        <v>6.5503692173162467</v>
      </c>
      <c r="M133" s="330">
        <f t="shared" ref="M133:P133" si="51">M132-$K$132</f>
        <v>8.3634895454029774</v>
      </c>
      <c r="N133" s="330">
        <f t="shared" si="51"/>
        <v>8.4303754155873154</v>
      </c>
      <c r="O133" s="330">
        <f t="shared" si="51"/>
        <v>8.4977961964218114</v>
      </c>
      <c r="P133" s="330">
        <f t="shared" si="51"/>
        <v>8.5657561657816412</v>
      </c>
      <c r="U133" s="146"/>
    </row>
    <row r="134" spans="1:39">
      <c r="A134" s="327"/>
      <c r="B134" s="376"/>
      <c r="C134" s="245"/>
      <c r="D134" s="245"/>
      <c r="E134" s="245"/>
      <c r="F134" s="245"/>
      <c r="G134" s="245"/>
      <c r="H134" s="245"/>
      <c r="I134" s="245"/>
      <c r="J134" s="327"/>
      <c r="K134" s="245"/>
      <c r="L134" s="245"/>
      <c r="M134" s="245"/>
      <c r="N134" s="245"/>
      <c r="O134" s="245"/>
      <c r="P134" s="245"/>
      <c r="U134" s="146"/>
    </row>
    <row r="135" spans="1:39">
      <c r="A135" s="328"/>
      <c r="B135" s="377" t="s">
        <v>119</v>
      </c>
      <c r="C135" s="360"/>
      <c r="D135" s="361"/>
      <c r="E135" s="362"/>
      <c r="F135" s="363"/>
      <c r="G135" s="363"/>
      <c r="H135" s="363"/>
      <c r="I135" s="472"/>
      <c r="J135" s="480"/>
      <c r="K135" s="328"/>
      <c r="L135" s="328"/>
      <c r="M135" s="328"/>
      <c r="N135" s="328"/>
      <c r="O135" s="328"/>
      <c r="P135" s="328"/>
      <c r="Q135" s="146"/>
      <c r="R135" s="146"/>
      <c r="S135" s="146"/>
      <c r="T135" s="146"/>
      <c r="U135" s="146"/>
      <c r="V135" s="146"/>
      <c r="W135" s="146"/>
      <c r="X135" s="146"/>
      <c r="Y135" s="146"/>
      <c r="AI135" s="323"/>
      <c r="AJ135" s="323"/>
      <c r="AK135" s="323"/>
      <c r="AL135" s="323"/>
      <c r="AM135" s="323"/>
    </row>
    <row r="136" spans="1:39">
      <c r="A136" s="328"/>
      <c r="B136" s="442" t="s">
        <v>881</v>
      </c>
      <c r="C136" s="443"/>
      <c r="D136" s="443"/>
      <c r="E136" s="443"/>
      <c r="F136" s="443"/>
      <c r="G136" s="443"/>
      <c r="H136" s="443"/>
      <c r="I136" s="246"/>
      <c r="J136" s="478"/>
      <c r="K136" s="479"/>
      <c r="L136" s="479"/>
      <c r="M136" s="479"/>
      <c r="N136" s="479"/>
      <c r="O136" s="479"/>
      <c r="P136" s="479"/>
      <c r="Q136" s="146"/>
      <c r="R136" s="146"/>
      <c r="S136" s="146"/>
      <c r="T136" s="146"/>
      <c r="U136" s="146"/>
      <c r="V136" s="146"/>
      <c r="W136" s="146"/>
      <c r="X136" s="146"/>
      <c r="Y136" s="146"/>
      <c r="AI136" s="323"/>
      <c r="AJ136" s="323"/>
      <c r="AK136" s="323"/>
      <c r="AL136" s="323"/>
      <c r="AM136" s="323"/>
    </row>
    <row r="137" spans="1:39" ht="43.5">
      <c r="A137" s="328"/>
      <c r="B137" s="316" t="s">
        <v>160</v>
      </c>
      <c r="C137" s="230"/>
      <c r="D137" s="463" t="s">
        <v>841</v>
      </c>
      <c r="E137" s="292" t="s">
        <v>60</v>
      </c>
      <c r="F137" s="292" t="s">
        <v>61</v>
      </c>
      <c r="G137" s="181" t="s">
        <v>62</v>
      </c>
      <c r="H137" s="181" t="s">
        <v>843</v>
      </c>
      <c r="I137" s="292" t="s">
        <v>844</v>
      </c>
      <c r="J137" s="328"/>
      <c r="K137" s="463" t="s">
        <v>841</v>
      </c>
      <c r="L137" s="292" t="s">
        <v>60</v>
      </c>
      <c r="M137" s="292" t="s">
        <v>61</v>
      </c>
      <c r="N137" s="181" t="s">
        <v>842</v>
      </c>
      <c r="O137" s="181" t="s">
        <v>843</v>
      </c>
      <c r="P137" s="292" t="s">
        <v>844</v>
      </c>
      <c r="Q137" s="146"/>
      <c r="R137" s="146"/>
      <c r="S137" s="146"/>
      <c r="T137" s="146"/>
      <c r="U137" s="146"/>
      <c r="V137" s="146"/>
      <c r="W137" s="146"/>
      <c r="X137" s="146"/>
      <c r="Y137" s="146"/>
      <c r="AI137" s="323"/>
      <c r="AJ137" s="323"/>
      <c r="AK137" s="323"/>
      <c r="AL137" s="323"/>
      <c r="AM137" s="323"/>
    </row>
    <row r="138" spans="1:39">
      <c r="A138" s="328"/>
      <c r="B138" s="284" t="s">
        <v>190</v>
      </c>
      <c r="C138" s="184"/>
      <c r="D138" s="141">
        <f>('Unit costs'!$C47*'Financial impact (cash)'!D$15)</f>
        <v>0</v>
      </c>
      <c r="E138" s="141">
        <f>('Unit costs'!$C47*'Financial impact (cash)'!E$15)</f>
        <v>91.814798652759109</v>
      </c>
      <c r="F138" s="141">
        <f>('Unit costs'!$C47*'Financial impact (cash)'!F$15)</f>
        <v>117.22882835606684</v>
      </c>
      <c r="G138" s="141">
        <f>('Unit costs'!$C47*'Financial impact (cash)'!G$15)</f>
        <v>118.16634996743728</v>
      </c>
      <c r="H138" s="141">
        <f>('Unit costs'!$C47*'Financial impact (cash)'!H$15)</f>
        <v>119.11136928038941</v>
      </c>
      <c r="I138" s="141">
        <f>('Unit costs'!$C47*'Financial impact (cash)'!I$15)</f>
        <v>120.06394625677196</v>
      </c>
      <c r="J138" s="328"/>
      <c r="K138" s="329">
        <f>(D138*'Unit costs'!$F47)/1000</f>
        <v>0</v>
      </c>
      <c r="L138" s="329">
        <f>(E138*'Unit costs'!$F47)/1000</f>
        <v>39.939437413950209</v>
      </c>
      <c r="M138" s="329">
        <f>(F138*'Unit costs'!$F47)/1000</f>
        <v>50.994540334889074</v>
      </c>
      <c r="N138" s="329">
        <f>(G138*'Unit costs'!$F47)/1000</f>
        <v>51.40236223583522</v>
      </c>
      <c r="O138" s="329">
        <f>(H138*'Unit costs'!$F47)/1000</f>
        <v>51.813445636969398</v>
      </c>
      <c r="P138" s="329">
        <f>(I138*'Unit costs'!$F47)/1000</f>
        <v>52.227816621695801</v>
      </c>
      <c r="Q138" s="146"/>
      <c r="R138" s="146"/>
      <c r="S138" s="146"/>
      <c r="T138" s="146"/>
      <c r="U138" s="146"/>
      <c r="V138" s="146"/>
      <c r="W138" s="146"/>
      <c r="X138" s="146"/>
      <c r="Y138" s="146"/>
      <c r="AI138" s="323"/>
      <c r="AJ138" s="323"/>
      <c r="AK138" s="323"/>
      <c r="AL138" s="323"/>
      <c r="AM138" s="323"/>
    </row>
    <row r="139" spans="1:39">
      <c r="A139" s="328"/>
      <c r="B139" s="284" t="s">
        <v>1064</v>
      </c>
      <c r="C139" s="184"/>
      <c r="D139" s="141">
        <f>('Unit costs'!$C48*'Financial impact (cash)'!D$15)</f>
        <v>0</v>
      </c>
      <c r="E139" s="141">
        <f>('Unit costs'!$C48*'Financial impact (cash)'!E$15)</f>
        <v>43.166659068088236</v>
      </c>
      <c r="F139" s="141">
        <f>('Unit costs'!$C48*'Financial impact (cash)'!F$15)</f>
        <v>55.115046167404557</v>
      </c>
      <c r="G139" s="141">
        <f>('Unit costs'!$C48*'Financial impact (cash)'!G$15)</f>
        <v>55.555821253347382</v>
      </c>
      <c r="H139" s="141">
        <f>('Unit costs'!$C48*'Financial impact (cash)'!H$15)</f>
        <v>56.000121378093532</v>
      </c>
      <c r="I139" s="141">
        <f>('Unit costs'!$C48*'Financial impact (cash)'!I$15)</f>
        <v>56.447974732661443</v>
      </c>
      <c r="J139" s="328"/>
      <c r="K139" s="329">
        <f>(D139*'Unit costs'!$F48)/1000</f>
        <v>0</v>
      </c>
      <c r="L139" s="329">
        <f>(E139*'Unit costs'!$F48)/1000</f>
        <v>4.0144992933322063</v>
      </c>
      <c r="M139" s="329">
        <f>(F139*'Unit costs'!$F48)/1000</f>
        <v>5.1256992935686236</v>
      </c>
      <c r="N139" s="329">
        <f>(G139*'Unit costs'!$F48)/1000</f>
        <v>5.1666913765613058</v>
      </c>
      <c r="O139" s="329">
        <f>(H139*'Unit costs'!$F48)/1000</f>
        <v>5.2080112881626981</v>
      </c>
      <c r="P139" s="329">
        <f>(I139*'Unit costs'!$F48)/1000</f>
        <v>5.2496616501375142</v>
      </c>
      <c r="Q139" s="146"/>
      <c r="R139" s="146"/>
      <c r="S139" s="146"/>
      <c r="T139" s="146"/>
      <c r="U139" s="146"/>
      <c r="V139" s="146"/>
      <c r="W139" s="146"/>
      <c r="X139" s="146"/>
      <c r="Y139" s="146"/>
      <c r="AI139" s="323"/>
      <c r="AJ139" s="323"/>
      <c r="AK139" s="323"/>
      <c r="AL139" s="323"/>
      <c r="AM139" s="323"/>
    </row>
    <row r="140" spans="1:39">
      <c r="A140" s="328"/>
      <c r="B140" s="284" t="s">
        <v>191</v>
      </c>
      <c r="C140" s="184"/>
      <c r="D140" s="141">
        <f>('Unit costs'!$C49*'Financial impact (cash)'!D$15)</f>
        <v>0</v>
      </c>
      <c r="E140" s="141">
        <f>('Unit costs'!$C49*'Financial impact (cash)'!E$15)</f>
        <v>18.271601721942112</v>
      </c>
      <c r="F140" s="141">
        <f>('Unit costs'!$C49*'Financial impact (cash)'!F$15)</f>
        <v>23.329120070859073</v>
      </c>
      <c r="G140" s="141">
        <f>('Unit costs'!$C49*'Financial impact (cash)'!G$15)</f>
        <v>23.515691535808415</v>
      </c>
      <c r="H140" s="141">
        <f>('Unit costs'!$C49*'Financial impact (cash)'!H$15)</f>
        <v>23.703755080674508</v>
      </c>
      <c r="I140" s="141">
        <f>('Unit costs'!$C49*'Financial impact (cash)'!I$15)</f>
        <v>23.893322638163571</v>
      </c>
      <c r="J140" s="328"/>
      <c r="K140" s="329">
        <f>(D140*'Unit costs'!$F49)/1000</f>
        <v>0</v>
      </c>
      <c r="L140" s="329">
        <f>(E140*'Unit costs'!$F49)/1000</f>
        <v>7.0345666629477126</v>
      </c>
      <c r="M140" s="329">
        <f>(F140*'Unit costs'!$F49)/1000</f>
        <v>8.9817112272807424</v>
      </c>
      <c r="N140" s="329">
        <f>(G140*'Unit costs'!$F49)/1000</f>
        <v>9.0535412412862399</v>
      </c>
      <c r="O140" s="329">
        <f>(H140*'Unit costs'!$F49)/1000</f>
        <v>9.1259457060596851</v>
      </c>
      <c r="P140" s="329">
        <f>(I140*'Unit costs'!$F49)/1000</f>
        <v>9.1989292156929743</v>
      </c>
      <c r="Q140" s="146"/>
      <c r="R140" s="146"/>
      <c r="S140" s="146"/>
      <c r="T140" s="146"/>
      <c r="U140" s="146"/>
      <c r="V140" s="146"/>
      <c r="W140" s="146"/>
      <c r="X140" s="146"/>
      <c r="Y140" s="146"/>
      <c r="AI140" s="323"/>
      <c r="AJ140" s="323"/>
      <c r="AK140" s="323"/>
      <c r="AL140" s="323"/>
      <c r="AM140" s="323"/>
    </row>
    <row r="141" spans="1:39">
      <c r="A141" s="328"/>
      <c r="B141" s="317"/>
      <c r="C141" s="230"/>
      <c r="D141" s="205">
        <f t="shared" ref="D141:I141" si="52">SUM(D138:D140)</f>
        <v>0</v>
      </c>
      <c r="E141" s="205">
        <f t="shared" si="52"/>
        <v>153.25305944278946</v>
      </c>
      <c r="F141" s="205">
        <f t="shared" si="52"/>
        <v>195.67299459433048</v>
      </c>
      <c r="G141" s="205">
        <f t="shared" si="52"/>
        <v>197.23786275659307</v>
      </c>
      <c r="H141" s="205">
        <f t="shared" si="52"/>
        <v>198.81524573915746</v>
      </c>
      <c r="I141" s="205">
        <f t="shared" si="52"/>
        <v>200.40524362759697</v>
      </c>
      <c r="J141" s="328"/>
      <c r="K141" s="330">
        <f t="shared" ref="K141:P141" si="53">SUM(K138:K140)</f>
        <v>0</v>
      </c>
      <c r="L141" s="330">
        <f t="shared" si="53"/>
        <v>50.988503370230127</v>
      </c>
      <c r="M141" s="330">
        <f t="shared" si="53"/>
        <v>65.101950855738437</v>
      </c>
      <c r="N141" s="330">
        <f t="shared" si="53"/>
        <v>65.622594853682756</v>
      </c>
      <c r="O141" s="330">
        <f t="shared" si="53"/>
        <v>66.147402631191781</v>
      </c>
      <c r="P141" s="330">
        <f t="shared" si="53"/>
        <v>66.676407487526291</v>
      </c>
      <c r="Q141" s="146"/>
      <c r="R141" s="146"/>
      <c r="S141" s="146"/>
      <c r="T141" s="146"/>
      <c r="U141" s="146"/>
      <c r="V141" s="146"/>
      <c r="W141" s="146"/>
      <c r="X141" s="146"/>
      <c r="Y141" s="146"/>
      <c r="AI141" s="323"/>
      <c r="AJ141" s="323"/>
      <c r="AK141" s="323"/>
      <c r="AL141" s="323"/>
      <c r="AM141" s="323"/>
    </row>
    <row r="142" spans="1:39">
      <c r="A142" s="328"/>
      <c r="B142" s="348"/>
      <c r="C142" s="230"/>
      <c r="D142" s="322" t="s">
        <v>882</v>
      </c>
      <c r="E142" s="205">
        <f>E141-$D$141</f>
        <v>153.25305944278946</v>
      </c>
      <c r="F142" s="205">
        <f>F141-$D$141</f>
        <v>195.67299459433048</v>
      </c>
      <c r="G142" s="205">
        <f>G141-$D$141</f>
        <v>197.23786275659307</v>
      </c>
      <c r="H142" s="205">
        <f>H141-$D$141</f>
        <v>198.81524573915746</v>
      </c>
      <c r="I142" s="205">
        <f>I141-$D$141</f>
        <v>200.40524362759697</v>
      </c>
      <c r="J142" s="328"/>
      <c r="K142" s="633"/>
      <c r="L142" s="330">
        <f>L141-$K$141</f>
        <v>50.988503370230127</v>
      </c>
      <c r="M142" s="330">
        <f t="shared" ref="M142:P142" si="54">M141-$K$141</f>
        <v>65.101950855738437</v>
      </c>
      <c r="N142" s="330">
        <f t="shared" si="54"/>
        <v>65.622594853682756</v>
      </c>
      <c r="O142" s="330">
        <f t="shared" si="54"/>
        <v>66.147402631191781</v>
      </c>
      <c r="P142" s="330">
        <f t="shared" si="54"/>
        <v>66.676407487526291</v>
      </c>
    </row>
    <row r="143" spans="1:39">
      <c r="A143" s="328"/>
      <c r="B143" s="328"/>
      <c r="C143" s="328"/>
      <c r="D143" s="328"/>
      <c r="E143" s="328"/>
      <c r="F143" s="328"/>
      <c r="G143" s="328"/>
      <c r="H143" s="328"/>
      <c r="I143" s="328"/>
      <c r="J143" s="328"/>
      <c r="K143" s="328"/>
      <c r="L143" s="328"/>
      <c r="M143" s="328"/>
      <c r="N143" s="328"/>
      <c r="O143" s="328"/>
      <c r="P143" s="328"/>
    </row>
    <row r="144" spans="1:39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</sheetData>
  <sheetProtection algorithmName="SHA-512" hashValue="xW7brQUgOiGD/IqOwtdaXXIoblU9Hqg3JiPneaQlHMuxpj17qEJTm3/qmbQyrFlETE6jyU6TjqHao7yCIDG9gA==" saltValue="H4Ia1jXlFZ2+qZ0Ui2GiTA==" spinCount="100000" sheet="1" objects="1" scenarios="1"/>
  <protectedRanges>
    <protectedRange sqref="B138:B140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David Tyldesley</DisplayName>
        <AccountId>14</AccountId>
        <AccountType/>
      </UserInfo>
      <UserInfo>
        <DisplayName>Gary Shield</DisplayName>
        <AccountId>19</AccountId>
        <AccountType/>
      </UserInfo>
      <UserInfo>
        <DisplayName>Elaine Cartwright</DisplayName>
        <AccountId>16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www.w3.org/XML/1998/namespace"/>
    <ds:schemaRef ds:uri="c1f338ac-e338-414f-952c-f74dcc6d59e1"/>
    <ds:schemaRef ds:uri="http://schemas.microsoft.com/office/infopath/2007/PartnerControls"/>
    <ds:schemaRef ds:uri="http://purl.org/dc/terms/"/>
    <ds:schemaRef ds:uri="http://purl.org/dc/elements/1.1/"/>
    <ds:schemaRef ds:uri="acaf4567-dc07-471f-892c-2bcb86ef35ae"/>
    <ds:schemaRef ds:uri="0eb656aa-4e79-4e95-9076-bc119a23e0c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2022-07-27T12:38:28Z</dcterms:created>
  <dcterms:modified xsi:type="dcterms:W3CDTF">2024-02-26T10:02:44Z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