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defaultThemeVersion="124226"/>
  <xr:revisionPtr revIDLastSave="0" documentId="13_ncr:1_{5AA548AA-2EF5-4546-97C7-584847B3136C}" xr6:coauthVersionLast="47" xr6:coauthVersionMax="47" xr10:uidLastSave="{00000000-0000-0000-0000-000000000000}"/>
  <bookViews>
    <workbookView xWindow="-120" yWindow="-120" windowWidth="21840" windowHeight="13140" tabRatio="944" xr2:uid="{00000000-000D-0000-FFFF-FFFF00000000}"/>
  </bookViews>
  <sheets>
    <sheet name="Cover" sheetId="58" r:id="rId1"/>
    <sheet name="Contents" sheetId="59" r:id="rId2"/>
    <sheet name="Population selection" sheetId="32" state="hidden" r:id="rId3"/>
    <sheet name="Inputs and eligible population" sheetId="50" r:id="rId4"/>
    <sheet name="Unit costs" sheetId="60" r:id="rId5"/>
    <sheet name="Summary" sheetId="61" r:id="rId6"/>
    <sheet name="Financial impact (cash)" sheetId="62" r:id="rId7"/>
    <sheet name="Capacity (local prices) 2nd" sheetId="63" r:id="rId8"/>
    <sheet name="Capacity (national prices) 2nd" sheetId="64" r:id="rId9"/>
    <sheet name="Capacity (local prices) 3rd" sheetId="65" r:id="rId10"/>
    <sheet name="Capacity (national prices)  3rd" sheetId="66" r:id="rId11"/>
    <sheet name="payscales" sheetId="57" r:id="rId12"/>
  </sheets>
  <externalReferences>
    <externalReference r:id="rId13"/>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#REF!</definedName>
    <definedName name="ORGTYPE" localSheetId="9">#REF!</definedName>
    <definedName name="ORGTYPE" localSheetId="10">#REF!</definedName>
    <definedName name="ORGTYPE" localSheetId="8">#REF!</definedName>
    <definedName name="ORGTYPE" localSheetId="0">#REF!</definedName>
    <definedName name="ORGTYPE" localSheetId="6">#REF!</definedName>
    <definedName name="ORGTYPE" localSheetId="5">#REF!</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 2nd'!$B$1:$S$231</definedName>
    <definedName name="_xlnm.Print_Area" localSheetId="9">'Capacity (local prices) 3rd'!$B$1:$S$214</definedName>
    <definedName name="_xlnm.Print_Area" localSheetId="10">'Capacity (national prices)  3rd'!$B$1:$S$212</definedName>
    <definedName name="_xlnm.Print_Area" localSheetId="8">'Capacity (national prices) 2nd'!$B$1:$S$229</definedName>
    <definedName name="_xlnm.Print_Area" localSheetId="1">Contents!$A$1:$P$28</definedName>
    <definedName name="_xlnm.Print_Area" localSheetId="0">Cover!$A$1:$P$47</definedName>
    <definedName name="_xlnm.Print_Area" localSheetId="6">'Financial impact (cash)'!$B$1:$J$35</definedName>
    <definedName name="_xlnm.Print_Area" localSheetId="2">'Population selection'!$B$11:$J$17</definedName>
    <definedName name="_xlnm.Print_Area" localSheetId="5">Summary!$B$1:$K$111</definedName>
    <definedName name="_xlnm.Print_Area" localSheetId="4">'Unit costs'!$B$1:$S$153</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 i="61" l="1"/>
  <c r="F98" i="61"/>
  <c r="G98" i="61"/>
  <c r="H98" i="61"/>
  <c r="D98" i="61"/>
  <c r="D137" i="66" l="1"/>
  <c r="E137" i="66"/>
  <c r="F137" i="66"/>
  <c r="G137" i="66"/>
  <c r="H137" i="66"/>
  <c r="I137" i="66"/>
  <c r="D138" i="66"/>
  <c r="E138" i="66"/>
  <c r="F138" i="66"/>
  <c r="G138" i="66"/>
  <c r="H138" i="66"/>
  <c r="I138" i="66"/>
  <c r="D139" i="66"/>
  <c r="E139" i="66"/>
  <c r="F139" i="66"/>
  <c r="G139" i="66"/>
  <c r="H139" i="66"/>
  <c r="I139" i="66"/>
  <c r="E136" i="66"/>
  <c r="F136" i="66"/>
  <c r="G136" i="66"/>
  <c r="H136" i="66"/>
  <c r="I136" i="66"/>
  <c r="D136" i="66"/>
  <c r="C139" i="66"/>
  <c r="C138" i="66"/>
  <c r="C137" i="66"/>
  <c r="C136" i="66"/>
  <c r="M22" i="65"/>
  <c r="N22" i="65"/>
  <c r="O22" i="65"/>
  <c r="P22" i="65"/>
  <c r="Q22" i="65"/>
  <c r="L22" i="65"/>
  <c r="E142" i="65"/>
  <c r="F142" i="65"/>
  <c r="G142" i="65"/>
  <c r="H142" i="65"/>
  <c r="I142" i="65"/>
  <c r="D142" i="65"/>
  <c r="M142" i="65"/>
  <c r="N142" i="65"/>
  <c r="O142" i="65"/>
  <c r="P142" i="65"/>
  <c r="Q142" i="65"/>
  <c r="L142" i="65"/>
  <c r="L139" i="65"/>
  <c r="M139" i="65" s="1"/>
  <c r="N139" i="65" s="1"/>
  <c r="O139" i="65" s="1"/>
  <c r="P139" i="65" s="1"/>
  <c r="Q139" i="65" s="1"/>
  <c r="L140" i="65"/>
  <c r="M140" i="65"/>
  <c r="N140" i="65"/>
  <c r="O140" i="65"/>
  <c r="P140" i="65"/>
  <c r="Q140" i="65" s="1"/>
  <c r="L141" i="65"/>
  <c r="M141" i="65" s="1"/>
  <c r="N141" i="65" s="1"/>
  <c r="O141" i="65" s="1"/>
  <c r="P141" i="65" s="1"/>
  <c r="Q141" i="65" s="1"/>
  <c r="M138" i="65"/>
  <c r="N138" i="65"/>
  <c r="O138" i="65"/>
  <c r="P138" i="65" s="1"/>
  <c r="Q138" i="65" s="1"/>
  <c r="L138" i="65"/>
  <c r="D139" i="65"/>
  <c r="E139" i="65"/>
  <c r="F139" i="65"/>
  <c r="G139" i="65"/>
  <c r="H139" i="65"/>
  <c r="I139" i="65"/>
  <c r="D140" i="65"/>
  <c r="E140" i="65"/>
  <c r="F140" i="65"/>
  <c r="G140" i="65"/>
  <c r="H140" i="65"/>
  <c r="I140" i="65"/>
  <c r="D141" i="65"/>
  <c r="E141" i="65"/>
  <c r="F141" i="65"/>
  <c r="G141" i="65"/>
  <c r="H141" i="65"/>
  <c r="I141" i="65"/>
  <c r="E138" i="65"/>
  <c r="F138" i="65"/>
  <c r="G138" i="65"/>
  <c r="H138" i="65"/>
  <c r="I138" i="65"/>
  <c r="D138" i="65"/>
  <c r="C141" i="65"/>
  <c r="C140" i="65"/>
  <c r="C139" i="65"/>
  <c r="C138" i="65"/>
  <c r="K141" i="65"/>
  <c r="K140" i="65"/>
  <c r="K139" i="65"/>
  <c r="K138" i="65"/>
  <c r="D148" i="64" l="1"/>
  <c r="E148" i="64"/>
  <c r="F148" i="64"/>
  <c r="G148" i="64"/>
  <c r="H148" i="64"/>
  <c r="I148" i="64"/>
  <c r="D149" i="64"/>
  <c r="E149" i="64"/>
  <c r="F149" i="64"/>
  <c r="G149" i="64"/>
  <c r="H149" i="64"/>
  <c r="I149" i="64"/>
  <c r="D150" i="64"/>
  <c r="E150" i="64"/>
  <c r="F150" i="64"/>
  <c r="G150" i="64"/>
  <c r="H150" i="64"/>
  <c r="I150" i="64"/>
  <c r="D151" i="64"/>
  <c r="E151" i="64"/>
  <c r="F151" i="64"/>
  <c r="G151" i="64"/>
  <c r="H151" i="64"/>
  <c r="I151" i="64"/>
  <c r="E147" i="64"/>
  <c r="F147" i="64"/>
  <c r="G147" i="64"/>
  <c r="H147" i="64"/>
  <c r="I147" i="64"/>
  <c r="D147" i="64"/>
  <c r="C151" i="64"/>
  <c r="C150" i="64"/>
  <c r="C149" i="64"/>
  <c r="C148" i="64"/>
  <c r="C147" i="64"/>
  <c r="M154" i="63"/>
  <c r="N154" i="63"/>
  <c r="O154" i="63"/>
  <c r="P154" i="63"/>
  <c r="Q154" i="63"/>
  <c r="L154" i="63"/>
  <c r="L150" i="63"/>
  <c r="M150" i="63" s="1"/>
  <c r="N150" i="63" s="1"/>
  <c r="O150" i="63" s="1"/>
  <c r="P150" i="63" s="1"/>
  <c r="Q150" i="63" s="1"/>
  <c r="L151" i="63"/>
  <c r="M151" i="63"/>
  <c r="N151" i="63"/>
  <c r="O151" i="63"/>
  <c r="P151" i="63" s="1"/>
  <c r="Q151" i="63" s="1"/>
  <c r="L152" i="63"/>
  <c r="M152" i="63"/>
  <c r="N152" i="63" s="1"/>
  <c r="O152" i="63" s="1"/>
  <c r="P152" i="63" s="1"/>
  <c r="Q152" i="63" s="1"/>
  <c r="L153" i="63"/>
  <c r="M153" i="63" s="1"/>
  <c r="N153" i="63" s="1"/>
  <c r="O153" i="63" s="1"/>
  <c r="P153" i="63" s="1"/>
  <c r="Q153" i="63" s="1"/>
  <c r="M149" i="63"/>
  <c r="N149" i="63"/>
  <c r="O149" i="63" s="1"/>
  <c r="P149" i="63" s="1"/>
  <c r="Q149" i="63" s="1"/>
  <c r="L149" i="63"/>
  <c r="K150" i="63"/>
  <c r="K151" i="63"/>
  <c r="K152" i="63"/>
  <c r="K153" i="63"/>
  <c r="K149" i="63"/>
  <c r="E154" i="63"/>
  <c r="F154" i="63"/>
  <c r="G154" i="63"/>
  <c r="H154" i="63"/>
  <c r="I154" i="63"/>
  <c r="D154" i="63"/>
  <c r="D150" i="63"/>
  <c r="E150" i="63"/>
  <c r="F150" i="63"/>
  <c r="G150" i="63"/>
  <c r="H150" i="63"/>
  <c r="I150" i="63"/>
  <c r="D151" i="63"/>
  <c r="E151" i="63"/>
  <c r="F151" i="63"/>
  <c r="G151" i="63"/>
  <c r="H151" i="63"/>
  <c r="I151" i="63"/>
  <c r="D152" i="63"/>
  <c r="E152" i="63"/>
  <c r="F152" i="63"/>
  <c r="G152" i="63"/>
  <c r="H152" i="63"/>
  <c r="I152" i="63"/>
  <c r="D153" i="63"/>
  <c r="E153" i="63"/>
  <c r="F153" i="63"/>
  <c r="G153" i="63"/>
  <c r="H153" i="63"/>
  <c r="I153" i="63"/>
  <c r="E149" i="63"/>
  <c r="F149" i="63"/>
  <c r="G149" i="63"/>
  <c r="H149" i="63"/>
  <c r="I149" i="63"/>
  <c r="D149" i="63"/>
  <c r="C153" i="63"/>
  <c r="C152" i="63"/>
  <c r="C151" i="63"/>
  <c r="C150" i="63"/>
  <c r="B13" i="65" l="1"/>
  <c r="B12" i="65"/>
  <c r="C48" i="65"/>
  <c r="C47" i="65"/>
  <c r="C46" i="65"/>
  <c r="C45" i="65"/>
  <c r="C39" i="65"/>
  <c r="C38" i="65"/>
  <c r="C37" i="65"/>
  <c r="C36" i="65"/>
  <c r="C46" i="66"/>
  <c r="C45" i="66"/>
  <c r="C44" i="66"/>
  <c r="C43" i="66"/>
  <c r="C37" i="66"/>
  <c r="C36" i="66"/>
  <c r="C35" i="66"/>
  <c r="C34" i="66"/>
  <c r="C50" i="63"/>
  <c r="C49" i="63"/>
  <c r="C48" i="63"/>
  <c r="C47" i="63"/>
  <c r="C46" i="63"/>
  <c r="B13" i="63"/>
  <c r="B12" i="63"/>
  <c r="C40" i="63"/>
  <c r="C39" i="63"/>
  <c r="C38" i="63"/>
  <c r="C37" i="63"/>
  <c r="C36" i="63"/>
  <c r="G13" i="50" l="1"/>
  <c r="C66" i="66" l="1"/>
  <c r="C68" i="65"/>
  <c r="Q87" i="60" l="1"/>
  <c r="Q86" i="60"/>
  <c r="Q85" i="60"/>
  <c r="P87" i="60"/>
  <c r="P86" i="60"/>
  <c r="P85" i="60"/>
  <c r="I87" i="60"/>
  <c r="H87" i="60"/>
  <c r="M86" i="60"/>
  <c r="I86" i="60" s="1"/>
  <c r="H86" i="60" s="1"/>
  <c r="H85" i="60"/>
  <c r="O76" i="60"/>
  <c r="O77" i="60"/>
  <c r="O75" i="60"/>
  <c r="O63" i="60"/>
  <c r="O62" i="60"/>
  <c r="O61" i="60"/>
  <c r="O16" i="60"/>
  <c r="O15" i="60"/>
  <c r="O14" i="60"/>
  <c r="R86" i="60" l="1"/>
  <c r="R87" i="60"/>
  <c r="R85" i="60"/>
  <c r="I85" i="60"/>
  <c r="R88" i="60" l="1"/>
  <c r="C49" i="62" s="1"/>
  <c r="C163" i="63" l="1"/>
  <c r="C162" i="63"/>
  <c r="C161" i="63"/>
  <c r="C109" i="63"/>
  <c r="C108" i="63"/>
  <c r="C107" i="63"/>
  <c r="C99" i="63"/>
  <c r="C98" i="63"/>
  <c r="C97" i="63"/>
  <c r="C89" i="63"/>
  <c r="C88" i="63"/>
  <c r="C87" i="63"/>
  <c r="D161" i="63" l="1"/>
  <c r="D162" i="63"/>
  <c r="D163" i="63"/>
  <c r="K147" i="66"/>
  <c r="K149" i="66"/>
  <c r="K148" i="66"/>
  <c r="K146" i="66"/>
  <c r="K54" i="66"/>
  <c r="K53" i="66"/>
  <c r="K52" i="66"/>
  <c r="K44" i="66"/>
  <c r="K46" i="66"/>
  <c r="K45" i="66"/>
  <c r="K43" i="66"/>
  <c r="K35" i="66"/>
  <c r="K37" i="66"/>
  <c r="K36" i="66"/>
  <c r="K34" i="66"/>
  <c r="K160" i="64"/>
  <c r="K161" i="64"/>
  <c r="K159" i="64"/>
  <c r="K162" i="64"/>
  <c r="K158" i="64"/>
  <c r="K56" i="64"/>
  <c r="K55" i="64"/>
  <c r="K54" i="64"/>
  <c r="K46" i="64"/>
  <c r="K47" i="64"/>
  <c r="K45" i="64"/>
  <c r="K48" i="64"/>
  <c r="K44" i="64"/>
  <c r="K36" i="64"/>
  <c r="K37" i="64"/>
  <c r="K35" i="64"/>
  <c r="K38" i="64"/>
  <c r="K34" i="64"/>
  <c r="C49" i="50"/>
  <c r="C48" i="50"/>
  <c r="H75" i="50" l="1"/>
  <c r="Q119" i="50" l="1"/>
  <c r="Q117" i="50"/>
  <c r="Q115" i="50"/>
  <c r="Q113" i="50"/>
  <c r="Q111" i="50"/>
  <c r="Q109" i="50"/>
  <c r="Q108" i="50"/>
  <c r="Q107" i="50"/>
  <c r="Q104" i="50"/>
  <c r="Q103" i="50"/>
  <c r="Q102" i="50"/>
  <c r="Q101" i="50"/>
  <c r="Q99" i="50"/>
  <c r="C147" i="66"/>
  <c r="C149" i="66"/>
  <c r="C148" i="66"/>
  <c r="C146" i="66"/>
  <c r="C130" i="66"/>
  <c r="C129" i="66"/>
  <c r="C128" i="66"/>
  <c r="C122" i="66"/>
  <c r="C121" i="66"/>
  <c r="C120" i="66"/>
  <c r="C114" i="66"/>
  <c r="C113" i="66"/>
  <c r="C112" i="66"/>
  <c r="C106" i="66"/>
  <c r="C105" i="66"/>
  <c r="C104" i="66"/>
  <c r="C95" i="66"/>
  <c r="C97" i="66"/>
  <c r="C96" i="66"/>
  <c r="C94" i="66"/>
  <c r="C86" i="66"/>
  <c r="C88" i="66"/>
  <c r="C87" i="66"/>
  <c r="C85" i="66"/>
  <c r="C77" i="66"/>
  <c r="C79" i="66"/>
  <c r="C78" i="66"/>
  <c r="C76" i="66"/>
  <c r="C64" i="66"/>
  <c r="C69" i="66"/>
  <c r="C68" i="66"/>
  <c r="C54" i="66"/>
  <c r="C53" i="66"/>
  <c r="C52" i="66"/>
  <c r="B1" i="66"/>
  <c r="C149" i="65"/>
  <c r="C151" i="65"/>
  <c r="C150" i="65"/>
  <c r="C148" i="65"/>
  <c r="C132" i="65"/>
  <c r="C131" i="65"/>
  <c r="C130" i="65"/>
  <c r="C124" i="65"/>
  <c r="C123" i="65"/>
  <c r="C122" i="65"/>
  <c r="C116" i="65"/>
  <c r="C115" i="65"/>
  <c r="C114" i="65"/>
  <c r="C108" i="65"/>
  <c r="C107" i="65"/>
  <c r="C106" i="65"/>
  <c r="C97" i="65"/>
  <c r="C99" i="65"/>
  <c r="C98" i="65"/>
  <c r="C96" i="65"/>
  <c r="C88" i="65"/>
  <c r="C90" i="65"/>
  <c r="C89" i="65"/>
  <c r="C87" i="65"/>
  <c r="C79" i="65"/>
  <c r="C81" i="65"/>
  <c r="C80" i="65"/>
  <c r="C78" i="65"/>
  <c r="C66" i="65"/>
  <c r="C67" i="65" s="1"/>
  <c r="C71" i="65"/>
  <c r="C70" i="65"/>
  <c r="C56" i="65"/>
  <c r="C55" i="65"/>
  <c r="C54" i="65"/>
  <c r="B1" i="65"/>
  <c r="C162" i="64"/>
  <c r="C159" i="64"/>
  <c r="C161" i="64"/>
  <c r="C160" i="64"/>
  <c r="C158" i="64"/>
  <c r="C141" i="64"/>
  <c r="C140" i="64"/>
  <c r="C139" i="64"/>
  <c r="C133" i="64"/>
  <c r="C132" i="64"/>
  <c r="C131" i="64"/>
  <c r="C125" i="64"/>
  <c r="C124" i="64"/>
  <c r="C123" i="64"/>
  <c r="C117" i="64"/>
  <c r="C116" i="64"/>
  <c r="C115" i="64"/>
  <c r="C108" i="64"/>
  <c r="C105" i="64"/>
  <c r="C107" i="64"/>
  <c r="C106" i="64"/>
  <c r="C104" i="64"/>
  <c r="C98" i="64"/>
  <c r="C95" i="64"/>
  <c r="C97" i="64"/>
  <c r="C96" i="64"/>
  <c r="C94" i="64"/>
  <c r="C88" i="64"/>
  <c r="C85" i="64"/>
  <c r="C87" i="64"/>
  <c r="C86" i="64"/>
  <c r="C84" i="64"/>
  <c r="C38" i="64"/>
  <c r="C35" i="64"/>
  <c r="C37" i="64"/>
  <c r="C36" i="64"/>
  <c r="C34" i="64"/>
  <c r="C164" i="63"/>
  <c r="C160" i="63"/>
  <c r="C149" i="63"/>
  <c r="C143" i="63"/>
  <c r="C142" i="63"/>
  <c r="C141" i="63"/>
  <c r="C135" i="63"/>
  <c r="C134" i="63"/>
  <c r="C133" i="63"/>
  <c r="C127" i="63"/>
  <c r="C126" i="63"/>
  <c r="C125" i="63"/>
  <c r="C119" i="63"/>
  <c r="C118" i="63"/>
  <c r="C117" i="63"/>
  <c r="C110" i="63"/>
  <c r="C106" i="63"/>
  <c r="C100" i="63"/>
  <c r="C96" i="63"/>
  <c r="C90" i="63"/>
  <c r="C86" i="63"/>
  <c r="B40" i="62"/>
  <c r="B42" i="62"/>
  <c r="B41" i="62"/>
  <c r="B39" i="62"/>
  <c r="B18" i="62"/>
  <c r="B15" i="62"/>
  <c r="B17" i="62"/>
  <c r="B16" i="62"/>
  <c r="B14" i="62"/>
  <c r="B26" i="61"/>
  <c r="B28" i="61"/>
  <c r="B27" i="61"/>
  <c r="B25" i="61"/>
  <c r="B21" i="61"/>
  <c r="B18" i="61"/>
  <c r="B20" i="61"/>
  <c r="B19" i="61"/>
  <c r="B17" i="61"/>
  <c r="H13" i="61"/>
  <c r="G13" i="61"/>
  <c r="F13" i="61"/>
  <c r="E13" i="61"/>
  <c r="D13" i="61"/>
  <c r="H8" i="61"/>
  <c r="G8" i="61"/>
  <c r="F8" i="61"/>
  <c r="E8" i="61"/>
  <c r="Q82" i="60"/>
  <c r="P82" i="60"/>
  <c r="Q81" i="60"/>
  <c r="P81" i="60"/>
  <c r="Q80" i="60"/>
  <c r="P80" i="60"/>
  <c r="Q77" i="60"/>
  <c r="P77" i="60"/>
  <c r="Q76" i="60"/>
  <c r="P76" i="60"/>
  <c r="Q75" i="60"/>
  <c r="P75" i="60"/>
  <c r="Q72" i="60"/>
  <c r="P72" i="60"/>
  <c r="Q71" i="60"/>
  <c r="P71" i="60"/>
  <c r="Q70" i="60"/>
  <c r="P70" i="60"/>
  <c r="Q67" i="60"/>
  <c r="P67" i="60"/>
  <c r="Q66" i="60"/>
  <c r="P66" i="60"/>
  <c r="Q63" i="60"/>
  <c r="P63" i="60"/>
  <c r="Q62" i="60"/>
  <c r="P62" i="60"/>
  <c r="Q61" i="60"/>
  <c r="P61" i="60"/>
  <c r="Q58" i="60"/>
  <c r="P58" i="60"/>
  <c r="Q57" i="60"/>
  <c r="P57" i="60"/>
  <c r="Q56" i="60"/>
  <c r="P56" i="60"/>
  <c r="Q53" i="60"/>
  <c r="P53" i="60"/>
  <c r="Q50" i="60"/>
  <c r="P50" i="60"/>
  <c r="Q49" i="60"/>
  <c r="P49" i="60"/>
  <c r="Q48" i="60"/>
  <c r="P48" i="60"/>
  <c r="Q47" i="60"/>
  <c r="P47" i="60"/>
  <c r="Q46" i="60"/>
  <c r="P46" i="60"/>
  <c r="Q43" i="60"/>
  <c r="P43" i="60"/>
  <c r="Q42" i="60"/>
  <c r="P42" i="60"/>
  <c r="Q39" i="60"/>
  <c r="P39" i="60"/>
  <c r="Q38" i="60"/>
  <c r="P38" i="60"/>
  <c r="Q37" i="60"/>
  <c r="P37" i="60"/>
  <c r="Q36" i="60"/>
  <c r="P36" i="60"/>
  <c r="Q33" i="60"/>
  <c r="P33" i="60"/>
  <c r="Q32" i="60"/>
  <c r="P32" i="60"/>
  <c r="Q31" i="60"/>
  <c r="P31" i="60"/>
  <c r="Q28" i="60"/>
  <c r="P28" i="60"/>
  <c r="Q27" i="60"/>
  <c r="P27" i="60"/>
  <c r="Q26" i="60"/>
  <c r="P26" i="60"/>
  <c r="Q25" i="60"/>
  <c r="P25" i="60"/>
  <c r="Q24" i="60"/>
  <c r="P24" i="60"/>
  <c r="Q23" i="60"/>
  <c r="P23" i="60"/>
  <c r="Q20" i="60"/>
  <c r="P20" i="60"/>
  <c r="Q19" i="60"/>
  <c r="P19" i="60"/>
  <c r="Q16" i="60"/>
  <c r="P16" i="60"/>
  <c r="Q15" i="60"/>
  <c r="P15" i="60"/>
  <c r="Q14" i="60"/>
  <c r="P14" i="60"/>
  <c r="Q11" i="60"/>
  <c r="P11" i="60"/>
  <c r="Q10" i="60"/>
  <c r="P10" i="60"/>
  <c r="Q9" i="60"/>
  <c r="P9" i="60"/>
  <c r="B26" i="66"/>
  <c r="B25" i="66"/>
  <c r="B24" i="66"/>
  <c r="B23" i="66"/>
  <c r="B22" i="66"/>
  <c r="B21" i="66"/>
  <c r="B20" i="66"/>
  <c r="B19" i="66"/>
  <c r="B18" i="66"/>
  <c r="B17" i="66"/>
  <c r="B16" i="66"/>
  <c r="B15" i="66"/>
  <c r="B14" i="66"/>
  <c r="B13" i="66"/>
  <c r="B12" i="66"/>
  <c r="B11" i="66"/>
  <c r="B11" i="65" s="1"/>
  <c r="B10" i="66"/>
  <c r="B10" i="65" s="1"/>
  <c r="B28" i="65"/>
  <c r="B23" i="65"/>
  <c r="B22" i="65"/>
  <c r="B21" i="65"/>
  <c r="B20" i="65"/>
  <c r="B19" i="65"/>
  <c r="B18" i="65"/>
  <c r="B17" i="65"/>
  <c r="B16" i="65"/>
  <c r="B15" i="65"/>
  <c r="B14" i="65"/>
  <c r="L118" i="50"/>
  <c r="C186" i="65" s="1"/>
  <c r="N118" i="50"/>
  <c r="C188" i="65" s="1"/>
  <c r="M118" i="50"/>
  <c r="C187" i="65" s="1"/>
  <c r="K118" i="50"/>
  <c r="C185" i="65" s="1"/>
  <c r="J118" i="50"/>
  <c r="C205" i="63" s="1"/>
  <c r="G118" i="50"/>
  <c r="I118" i="50"/>
  <c r="H118" i="50"/>
  <c r="F118" i="50"/>
  <c r="C201" i="63" s="1"/>
  <c r="L116" i="50"/>
  <c r="C177" i="65" s="1"/>
  <c r="N116" i="50"/>
  <c r="C179" i="65" s="1"/>
  <c r="M116" i="50"/>
  <c r="C178" i="65" s="1"/>
  <c r="K116" i="50"/>
  <c r="C176" i="65" s="1"/>
  <c r="J116" i="50"/>
  <c r="C195" i="63" s="1"/>
  <c r="G116" i="50"/>
  <c r="I116" i="50"/>
  <c r="H116" i="50"/>
  <c r="F116" i="50"/>
  <c r="C174" i="66" s="1"/>
  <c r="L114" i="50"/>
  <c r="C168" i="65" s="1"/>
  <c r="N114" i="50"/>
  <c r="C170" i="65" s="1"/>
  <c r="M114" i="50"/>
  <c r="C169" i="65" s="1"/>
  <c r="K114" i="50"/>
  <c r="C167" i="65" s="1"/>
  <c r="J114" i="50"/>
  <c r="C185" i="63" s="1"/>
  <c r="G114" i="50"/>
  <c r="I114" i="50"/>
  <c r="C184" i="63" s="1"/>
  <c r="H114" i="50"/>
  <c r="F114" i="50"/>
  <c r="C179" i="64" s="1"/>
  <c r="L112" i="50"/>
  <c r="C159" i="65" s="1"/>
  <c r="N112" i="50"/>
  <c r="C161" i="65" s="1"/>
  <c r="M112" i="50"/>
  <c r="C160" i="65" s="1"/>
  <c r="K112" i="50"/>
  <c r="C158" i="65" s="1"/>
  <c r="J112" i="50"/>
  <c r="C173" i="64" s="1"/>
  <c r="G112" i="50"/>
  <c r="I112" i="50"/>
  <c r="H112" i="50"/>
  <c r="F112" i="50"/>
  <c r="C171" i="63" s="1"/>
  <c r="L100" i="50"/>
  <c r="N100" i="50"/>
  <c r="M100" i="50"/>
  <c r="K100" i="50"/>
  <c r="J100" i="50"/>
  <c r="G100" i="50"/>
  <c r="I100" i="50"/>
  <c r="C47" i="64" s="1"/>
  <c r="H100" i="50"/>
  <c r="C46" i="64" s="1"/>
  <c r="F100" i="50"/>
  <c r="C44" i="64" s="1"/>
  <c r="J83" i="50"/>
  <c r="I83" i="50"/>
  <c r="H83" i="50"/>
  <c r="G83" i="50"/>
  <c r="F83" i="50"/>
  <c r="E83" i="50"/>
  <c r="J75" i="50"/>
  <c r="I75" i="50"/>
  <c r="G75" i="50"/>
  <c r="E75" i="50"/>
  <c r="G42" i="50"/>
  <c r="C42" i="50"/>
  <c r="G41" i="50"/>
  <c r="C41" i="50"/>
  <c r="C77" i="64"/>
  <c r="C75" i="64"/>
  <c r="C76" i="64" s="1"/>
  <c r="C66" i="64"/>
  <c r="C74" i="64"/>
  <c r="C73" i="64"/>
  <c r="C71" i="64"/>
  <c r="C56" i="64"/>
  <c r="C55" i="64"/>
  <c r="C54" i="64"/>
  <c r="B26" i="64"/>
  <c r="B25" i="64"/>
  <c r="B24" i="64"/>
  <c r="B23" i="64"/>
  <c r="B22" i="64"/>
  <c r="B21" i="64"/>
  <c r="B20" i="64"/>
  <c r="B19" i="64"/>
  <c r="B18" i="64"/>
  <c r="B17" i="64"/>
  <c r="B16" i="64"/>
  <c r="B15" i="64"/>
  <c r="B14" i="64"/>
  <c r="B13" i="64"/>
  <c r="B12" i="64"/>
  <c r="B11" i="64"/>
  <c r="B11" i="63" s="1"/>
  <c r="B10" i="64"/>
  <c r="B10" i="63" s="1"/>
  <c r="B1" i="64"/>
  <c r="C79" i="63"/>
  <c r="C77" i="63"/>
  <c r="C78" i="63" s="1"/>
  <c r="C68" i="63"/>
  <c r="C67" i="64" s="1"/>
  <c r="C76" i="63"/>
  <c r="C75" i="63"/>
  <c r="C73" i="63"/>
  <c r="C72" i="64" s="1"/>
  <c r="C58" i="63"/>
  <c r="C57" i="63"/>
  <c r="C56" i="63"/>
  <c r="B28" i="63"/>
  <c r="B23" i="63"/>
  <c r="B22" i="63"/>
  <c r="B21" i="63"/>
  <c r="B20" i="63"/>
  <c r="B19" i="63"/>
  <c r="B18" i="63"/>
  <c r="B17" i="63"/>
  <c r="B16" i="63"/>
  <c r="B15" i="63"/>
  <c r="B14" i="63"/>
  <c r="B1" i="63"/>
  <c r="B1" i="62"/>
  <c r="B1" i="61"/>
  <c r="P173" i="60"/>
  <c r="R173" i="60" s="1"/>
  <c r="K173" i="60"/>
  <c r="M173" i="60"/>
  <c r="L173" i="60"/>
  <c r="J173" i="60"/>
  <c r="P172" i="60"/>
  <c r="Q172" i="60" s="1"/>
  <c r="K172" i="60"/>
  <c r="M172" i="60"/>
  <c r="L172" i="60"/>
  <c r="J172" i="60"/>
  <c r="P171" i="60"/>
  <c r="R171" i="60" s="1"/>
  <c r="K171" i="60"/>
  <c r="M171" i="60"/>
  <c r="L171" i="60"/>
  <c r="J171" i="60"/>
  <c r="P170" i="60"/>
  <c r="Q170" i="60" s="1"/>
  <c r="K170" i="60"/>
  <c r="M170" i="60"/>
  <c r="L170" i="60"/>
  <c r="J170" i="60"/>
  <c r="P169" i="60"/>
  <c r="S169" i="60" s="1"/>
  <c r="K169" i="60"/>
  <c r="M169" i="60"/>
  <c r="L169" i="60"/>
  <c r="J169" i="60"/>
  <c r="P168" i="60"/>
  <c r="T168" i="60" s="1"/>
  <c r="K168" i="60"/>
  <c r="M168" i="60"/>
  <c r="L168" i="60"/>
  <c r="J168" i="60"/>
  <c r="P167" i="60"/>
  <c r="R167" i="60" s="1"/>
  <c r="K167" i="60"/>
  <c r="M167" i="60"/>
  <c r="L167" i="60"/>
  <c r="J167" i="60"/>
  <c r="P166" i="60"/>
  <c r="R166" i="60" s="1"/>
  <c r="K166" i="60"/>
  <c r="M166" i="60"/>
  <c r="L166" i="60"/>
  <c r="J166" i="60"/>
  <c r="P165" i="60"/>
  <c r="T165" i="60" s="1"/>
  <c r="K165" i="60"/>
  <c r="M165" i="60"/>
  <c r="L165" i="60"/>
  <c r="J165" i="60"/>
  <c r="P164" i="60"/>
  <c r="R164" i="60" s="1"/>
  <c r="K164" i="60"/>
  <c r="M164" i="60"/>
  <c r="L164" i="60"/>
  <c r="J164" i="60"/>
  <c r="P163" i="60"/>
  <c r="R163" i="60" s="1"/>
  <c r="K163" i="60"/>
  <c r="M163" i="60"/>
  <c r="L163" i="60"/>
  <c r="J163" i="60"/>
  <c r="P162" i="60"/>
  <c r="Q162" i="60" s="1"/>
  <c r="K162" i="60"/>
  <c r="M162" i="60"/>
  <c r="L162" i="60"/>
  <c r="J162" i="60"/>
  <c r="P161" i="60"/>
  <c r="S161" i="60" s="1"/>
  <c r="K161" i="60"/>
  <c r="M161" i="60"/>
  <c r="L161" i="60"/>
  <c r="J161" i="60"/>
  <c r="P160" i="60"/>
  <c r="T160" i="60" s="1"/>
  <c r="K160" i="60"/>
  <c r="M160" i="60"/>
  <c r="L160" i="60"/>
  <c r="J160" i="60"/>
  <c r="P159" i="60"/>
  <c r="R159" i="60" s="1"/>
  <c r="K159" i="60"/>
  <c r="M159" i="60"/>
  <c r="L159" i="60"/>
  <c r="J159" i="60"/>
  <c r="P158" i="60"/>
  <c r="R158" i="60" s="1"/>
  <c r="K158" i="60"/>
  <c r="M158" i="60"/>
  <c r="L158" i="60"/>
  <c r="J158" i="60"/>
  <c r="P157" i="60"/>
  <c r="R157" i="60" s="1"/>
  <c r="K157" i="60"/>
  <c r="M157" i="60"/>
  <c r="L157" i="60"/>
  <c r="J157" i="60"/>
  <c r="P153" i="60"/>
  <c r="R153" i="60" s="1"/>
  <c r="N153" i="60"/>
  <c r="K153" i="60"/>
  <c r="M153" i="60"/>
  <c r="L153" i="60"/>
  <c r="J153" i="60"/>
  <c r="P152" i="60"/>
  <c r="T152" i="60" s="1"/>
  <c r="N152" i="60"/>
  <c r="K152" i="60"/>
  <c r="M152" i="60"/>
  <c r="L152" i="60"/>
  <c r="J152" i="60"/>
  <c r="P151" i="60"/>
  <c r="U151" i="60" s="1"/>
  <c r="N151" i="60"/>
  <c r="K151" i="60"/>
  <c r="M151" i="60"/>
  <c r="L151" i="60"/>
  <c r="J151" i="60"/>
  <c r="P150" i="60"/>
  <c r="Q150" i="60" s="1"/>
  <c r="N150" i="60"/>
  <c r="K150" i="60"/>
  <c r="M150" i="60"/>
  <c r="L150" i="60"/>
  <c r="J150" i="60"/>
  <c r="P149" i="60"/>
  <c r="R149" i="60" s="1"/>
  <c r="N149" i="60"/>
  <c r="K149" i="60"/>
  <c r="M149" i="60"/>
  <c r="L149" i="60"/>
  <c r="J149" i="60"/>
  <c r="P148" i="60"/>
  <c r="U148" i="60" s="1"/>
  <c r="N148" i="60"/>
  <c r="K148" i="60"/>
  <c r="M148" i="60"/>
  <c r="L148" i="60"/>
  <c r="J148" i="60"/>
  <c r="P147" i="60"/>
  <c r="S147" i="60" s="1"/>
  <c r="N147" i="60"/>
  <c r="K147" i="60"/>
  <c r="M147" i="60"/>
  <c r="L147" i="60"/>
  <c r="J147" i="60"/>
  <c r="P146" i="60"/>
  <c r="U146" i="60" s="1"/>
  <c r="N146" i="60"/>
  <c r="K146" i="60"/>
  <c r="M146" i="60"/>
  <c r="L146" i="60"/>
  <c r="J146" i="60"/>
  <c r="P145" i="60"/>
  <c r="R145" i="60" s="1"/>
  <c r="N145" i="60"/>
  <c r="K145" i="60"/>
  <c r="M145" i="60"/>
  <c r="L145" i="60"/>
  <c r="J145" i="60"/>
  <c r="P144" i="60"/>
  <c r="T144" i="60" s="1"/>
  <c r="N144" i="60"/>
  <c r="K144" i="60"/>
  <c r="M144" i="60"/>
  <c r="L144" i="60"/>
  <c r="J144" i="60"/>
  <c r="P143" i="60"/>
  <c r="U143" i="60" s="1"/>
  <c r="N143" i="60"/>
  <c r="K143" i="60"/>
  <c r="M143" i="60"/>
  <c r="L143" i="60"/>
  <c r="J143" i="60"/>
  <c r="P142" i="60"/>
  <c r="Q142" i="60" s="1"/>
  <c r="N142" i="60"/>
  <c r="K142" i="60"/>
  <c r="M142" i="60"/>
  <c r="L142" i="60"/>
  <c r="J142" i="60"/>
  <c r="P141" i="60"/>
  <c r="R141" i="60" s="1"/>
  <c r="N141" i="60"/>
  <c r="K141" i="60"/>
  <c r="M141" i="60"/>
  <c r="L141" i="60"/>
  <c r="J141" i="60"/>
  <c r="P140" i="60"/>
  <c r="U140" i="60" s="1"/>
  <c r="N140" i="60"/>
  <c r="K140" i="60"/>
  <c r="M140" i="60"/>
  <c r="L140" i="60"/>
  <c r="J140" i="60"/>
  <c r="P139" i="60"/>
  <c r="S139" i="60" s="1"/>
  <c r="N139" i="60"/>
  <c r="K139" i="60"/>
  <c r="M139" i="60"/>
  <c r="L139" i="60"/>
  <c r="J139" i="60"/>
  <c r="P138" i="60"/>
  <c r="U138" i="60" s="1"/>
  <c r="N138" i="60"/>
  <c r="K138" i="60"/>
  <c r="M138" i="60"/>
  <c r="L138" i="60"/>
  <c r="J138" i="60"/>
  <c r="P137" i="60"/>
  <c r="R137" i="60" s="1"/>
  <c r="N137" i="60"/>
  <c r="K137" i="60"/>
  <c r="M137" i="60"/>
  <c r="L137" i="60"/>
  <c r="J137" i="60"/>
  <c r="I82" i="60"/>
  <c r="H82" i="60"/>
  <c r="M81" i="60"/>
  <c r="I81" i="60" s="1"/>
  <c r="H81" i="60" s="1"/>
  <c r="H80" i="60"/>
  <c r="H77" i="60"/>
  <c r="I77" i="60" s="1"/>
  <c r="I76" i="60"/>
  <c r="H76" i="60"/>
  <c r="H75" i="60"/>
  <c r="H72" i="60"/>
  <c r="I72" i="60" s="1"/>
  <c r="I71" i="60"/>
  <c r="H71" i="60"/>
  <c r="H70" i="60"/>
  <c r="O67" i="60"/>
  <c r="I67" i="60" s="1"/>
  <c r="H67" i="60"/>
  <c r="O66" i="60"/>
  <c r="C67" i="66" s="1"/>
  <c r="H66" i="60"/>
  <c r="I66" i="60" s="1"/>
  <c r="I63" i="60"/>
  <c r="H63" i="60"/>
  <c r="M62" i="60"/>
  <c r="I62" i="60" s="1"/>
  <c r="H62" i="60" s="1"/>
  <c r="C64" i="65"/>
  <c r="C65" i="65" s="1"/>
  <c r="H61" i="60"/>
  <c r="O58" i="60"/>
  <c r="I58" i="60" s="1"/>
  <c r="H58" i="60"/>
  <c r="O57" i="60"/>
  <c r="M57" i="60"/>
  <c r="I57" i="60" s="1"/>
  <c r="H57" i="60" s="1"/>
  <c r="O56" i="60"/>
  <c r="C62" i="65" s="1"/>
  <c r="H56" i="60"/>
  <c r="I56" i="60" s="1"/>
  <c r="H53" i="60"/>
  <c r="I53" i="60" s="1"/>
  <c r="I50" i="60"/>
  <c r="H50" i="60"/>
  <c r="M49" i="60"/>
  <c r="I49" i="60" s="1"/>
  <c r="H49" i="60" s="1"/>
  <c r="H48" i="60"/>
  <c r="I48" i="60" s="1"/>
  <c r="H47" i="60"/>
  <c r="I47" i="60" s="1"/>
  <c r="H46" i="60"/>
  <c r="I46" i="60" s="1"/>
  <c r="O43" i="60"/>
  <c r="I43" i="60" s="1"/>
  <c r="H43" i="60"/>
  <c r="O42" i="60"/>
  <c r="M42" i="60"/>
  <c r="H42" i="60" s="1"/>
  <c r="I42" i="60" s="1"/>
  <c r="I39" i="60"/>
  <c r="H39" i="60"/>
  <c r="M38" i="60"/>
  <c r="H38" i="60" s="1"/>
  <c r="M37" i="60"/>
  <c r="H37" i="60" s="1"/>
  <c r="M36" i="60"/>
  <c r="H36" i="60" s="1"/>
  <c r="I36" i="60" s="1"/>
  <c r="H33" i="60"/>
  <c r="I33" i="60" s="1"/>
  <c r="I32" i="60"/>
  <c r="H32" i="60"/>
  <c r="M31" i="60"/>
  <c r="H31" i="60" s="1"/>
  <c r="I31" i="60" s="1"/>
  <c r="O28" i="60"/>
  <c r="H28" i="60"/>
  <c r="I28" i="60" s="1"/>
  <c r="I27" i="60"/>
  <c r="H27" i="60"/>
  <c r="M26" i="60"/>
  <c r="H26" i="60" s="1"/>
  <c r="M25" i="60"/>
  <c r="H25" i="60" s="1"/>
  <c r="I25" i="60" s="1"/>
  <c r="M24" i="60"/>
  <c r="H24" i="60" s="1"/>
  <c r="M23" i="60"/>
  <c r="H23" i="60" s="1"/>
  <c r="I23" i="60" s="1"/>
  <c r="O20" i="60"/>
  <c r="I20" i="60" s="1"/>
  <c r="H20" i="60"/>
  <c r="O19" i="60"/>
  <c r="H19" i="60"/>
  <c r="I19" i="60" s="1"/>
  <c r="I16" i="60"/>
  <c r="H16" i="60"/>
  <c r="M15" i="60"/>
  <c r="I15" i="60" s="1"/>
  <c r="H15" i="60" s="1"/>
  <c r="H14" i="60"/>
  <c r="I14" i="60" s="1"/>
  <c r="O11" i="60"/>
  <c r="I11" i="60" s="1"/>
  <c r="H11" i="60"/>
  <c r="O10" i="60"/>
  <c r="M10" i="60"/>
  <c r="I10" i="60" s="1"/>
  <c r="H10" i="60" s="1"/>
  <c r="O9" i="60"/>
  <c r="H9" i="60"/>
  <c r="I9" i="60" s="1"/>
  <c r="G45" i="50"/>
  <c r="D160" i="64" l="1"/>
  <c r="D159" i="64"/>
  <c r="D162" i="64"/>
  <c r="D161" i="64"/>
  <c r="D158" i="64"/>
  <c r="D164" i="63"/>
  <c r="C184" i="66"/>
  <c r="C202" i="63"/>
  <c r="C158" i="66"/>
  <c r="C173" i="63"/>
  <c r="C159" i="66"/>
  <c r="C174" i="63"/>
  <c r="C167" i="66"/>
  <c r="C183" i="63"/>
  <c r="C171" i="64"/>
  <c r="C172" i="63"/>
  <c r="C191" i="64"/>
  <c r="C193" i="63"/>
  <c r="C166" i="66"/>
  <c r="C182" i="63"/>
  <c r="C192" i="64"/>
  <c r="C194" i="63"/>
  <c r="C185" i="66"/>
  <c r="C203" i="63"/>
  <c r="C190" i="64"/>
  <c r="C192" i="63"/>
  <c r="C186" i="66"/>
  <c r="C204" i="63"/>
  <c r="S146" i="60"/>
  <c r="U153" i="60"/>
  <c r="K38" i="65"/>
  <c r="K36" i="65"/>
  <c r="K37" i="65"/>
  <c r="K39" i="65"/>
  <c r="K161" i="63"/>
  <c r="K151" i="65"/>
  <c r="K163" i="63"/>
  <c r="K149" i="65"/>
  <c r="K162" i="63"/>
  <c r="K150" i="65"/>
  <c r="K164" i="63"/>
  <c r="K148" i="65"/>
  <c r="K160" i="63"/>
  <c r="K47" i="65"/>
  <c r="K46" i="65"/>
  <c r="K48" i="65"/>
  <c r="K45" i="65"/>
  <c r="K175" i="63"/>
  <c r="K160" i="65"/>
  <c r="K171" i="63"/>
  <c r="K158" i="65"/>
  <c r="K172" i="63"/>
  <c r="K159" i="65"/>
  <c r="K161" i="65"/>
  <c r="K173" i="63"/>
  <c r="K174" i="63"/>
  <c r="K80" i="65"/>
  <c r="K78" i="65"/>
  <c r="K79" i="65"/>
  <c r="K81" i="65"/>
  <c r="K183" i="63"/>
  <c r="K184" i="63"/>
  <c r="K170" i="65"/>
  <c r="K168" i="65"/>
  <c r="K167" i="65"/>
  <c r="K182" i="63"/>
  <c r="K169" i="65"/>
  <c r="K185" i="63"/>
  <c r="K181" i="63"/>
  <c r="K90" i="65"/>
  <c r="K87" i="65"/>
  <c r="K89" i="65"/>
  <c r="K88" i="65"/>
  <c r="K177" i="65"/>
  <c r="K176" i="65"/>
  <c r="K193" i="63"/>
  <c r="K191" i="63"/>
  <c r="K192" i="63"/>
  <c r="K194" i="63"/>
  <c r="K195" i="63"/>
  <c r="K178" i="65"/>
  <c r="K179" i="65"/>
  <c r="K97" i="65"/>
  <c r="K96" i="65"/>
  <c r="K98" i="65"/>
  <c r="K99" i="65"/>
  <c r="K205" i="63"/>
  <c r="K201" i="63"/>
  <c r="K202" i="63"/>
  <c r="K187" i="65"/>
  <c r="K188" i="65"/>
  <c r="K186" i="65"/>
  <c r="K185" i="65"/>
  <c r="K203" i="63"/>
  <c r="K204" i="63"/>
  <c r="K90" i="63"/>
  <c r="K89" i="63"/>
  <c r="K88" i="63"/>
  <c r="K86" i="63"/>
  <c r="K87" i="63"/>
  <c r="K97" i="63"/>
  <c r="K96" i="63"/>
  <c r="K98" i="63"/>
  <c r="K100" i="63"/>
  <c r="K99" i="63"/>
  <c r="K110" i="63"/>
  <c r="K109" i="63"/>
  <c r="K108" i="63"/>
  <c r="K107" i="63"/>
  <c r="K106" i="63"/>
  <c r="K38" i="63"/>
  <c r="K40" i="63"/>
  <c r="K39" i="63"/>
  <c r="K36" i="63"/>
  <c r="K37" i="63"/>
  <c r="K47" i="63"/>
  <c r="K50" i="63"/>
  <c r="K46" i="63"/>
  <c r="K48" i="63"/>
  <c r="K49" i="63"/>
  <c r="R32" i="60"/>
  <c r="R80" i="60"/>
  <c r="T146" i="60"/>
  <c r="S150" i="60"/>
  <c r="R38" i="60"/>
  <c r="Q149" i="60"/>
  <c r="Q163" i="60"/>
  <c r="Q166" i="60"/>
  <c r="R169" i="60"/>
  <c r="S149" i="60"/>
  <c r="T149" i="60"/>
  <c r="C63" i="65"/>
  <c r="Q137" i="60"/>
  <c r="Q139" i="60"/>
  <c r="U145" i="60"/>
  <c r="Q147" i="60"/>
  <c r="T139" i="60"/>
  <c r="R146" i="60"/>
  <c r="T147" i="60"/>
  <c r="Q158" i="60"/>
  <c r="T161" i="60"/>
  <c r="Q171" i="60"/>
  <c r="R139" i="60"/>
  <c r="R161" i="60"/>
  <c r="R152" i="60"/>
  <c r="Q153" i="60"/>
  <c r="T142" i="60"/>
  <c r="U152" i="60"/>
  <c r="S153" i="60"/>
  <c r="T169" i="60"/>
  <c r="R19" i="60"/>
  <c r="R147" i="60"/>
  <c r="U149" i="60"/>
  <c r="T150" i="60"/>
  <c r="S162" i="60"/>
  <c r="S163" i="60"/>
  <c r="S170" i="60"/>
  <c r="S171" i="60"/>
  <c r="C69" i="65"/>
  <c r="C60" i="66"/>
  <c r="C61" i="66" s="1"/>
  <c r="T162" i="60"/>
  <c r="T163" i="60"/>
  <c r="T170" i="60"/>
  <c r="T171" i="60"/>
  <c r="C62" i="66"/>
  <c r="C63" i="66" s="1"/>
  <c r="S137" i="60"/>
  <c r="S138" i="60"/>
  <c r="Q141" i="60"/>
  <c r="R144" i="60"/>
  <c r="Q145" i="60"/>
  <c r="S158" i="60"/>
  <c r="Q159" i="60"/>
  <c r="R160" i="60"/>
  <c r="S166" i="60"/>
  <c r="Q167" i="60"/>
  <c r="R168" i="60"/>
  <c r="U137" i="60"/>
  <c r="T138" i="60"/>
  <c r="S141" i="60"/>
  <c r="U144" i="60"/>
  <c r="S145" i="60"/>
  <c r="T158" i="60"/>
  <c r="S159" i="60"/>
  <c r="T166" i="60"/>
  <c r="S167" i="60"/>
  <c r="R62" i="60"/>
  <c r="R138" i="60"/>
  <c r="T141" i="60"/>
  <c r="S142" i="60"/>
  <c r="T145" i="60"/>
  <c r="T159" i="60"/>
  <c r="T167" i="60"/>
  <c r="U141" i="60"/>
  <c r="R16" i="60"/>
  <c r="R56" i="60"/>
  <c r="R9" i="60"/>
  <c r="R82" i="60"/>
  <c r="R25" i="60"/>
  <c r="R72" i="60"/>
  <c r="R46" i="60"/>
  <c r="R31" i="60"/>
  <c r="C175" i="63"/>
  <c r="C180" i="64"/>
  <c r="C191" i="63"/>
  <c r="C183" i="64"/>
  <c r="C201" i="64"/>
  <c r="R48" i="60"/>
  <c r="C202" i="64"/>
  <c r="C156" i="66"/>
  <c r="R81" i="60"/>
  <c r="C200" i="64"/>
  <c r="R66" i="60"/>
  <c r="C203" i="64"/>
  <c r="R76" i="60"/>
  <c r="C169" i="64"/>
  <c r="C189" i="64"/>
  <c r="C157" i="66"/>
  <c r="C45" i="64"/>
  <c r="C181" i="64"/>
  <c r="C193" i="64"/>
  <c r="C168" i="66"/>
  <c r="C170" i="64"/>
  <c r="R50" i="60"/>
  <c r="R58" i="60"/>
  <c r="C48" i="64"/>
  <c r="C182" i="64"/>
  <c r="C199" i="64"/>
  <c r="C176" i="66"/>
  <c r="C177" i="66"/>
  <c r="C175" i="66"/>
  <c r="C165" i="66"/>
  <c r="C183" i="66"/>
  <c r="C172" i="64"/>
  <c r="R20" i="60"/>
  <c r="C181" i="63"/>
  <c r="R57" i="60"/>
  <c r="R61" i="60"/>
  <c r="R33" i="60"/>
  <c r="R43" i="60"/>
  <c r="R67" i="60"/>
  <c r="C69" i="63"/>
  <c r="R49" i="60"/>
  <c r="R77" i="60"/>
  <c r="R11" i="60"/>
  <c r="R71" i="60"/>
  <c r="R15" i="60"/>
  <c r="R70" i="60"/>
  <c r="R27" i="60"/>
  <c r="R39" i="60"/>
  <c r="R75" i="60"/>
  <c r="R10" i="60"/>
  <c r="R63" i="60"/>
  <c r="C65" i="66"/>
  <c r="R26" i="60"/>
  <c r="I26" i="60"/>
  <c r="I24" i="60"/>
  <c r="R24" i="60"/>
  <c r="I37" i="60"/>
  <c r="R37" i="60"/>
  <c r="R28" i="60"/>
  <c r="R36" i="60"/>
  <c r="I38" i="60"/>
  <c r="R53" i="60"/>
  <c r="R54" i="60" s="1"/>
  <c r="C30" i="62" s="1"/>
  <c r="I70" i="60"/>
  <c r="I75" i="60"/>
  <c r="I80" i="60"/>
  <c r="T137" i="60"/>
  <c r="U139" i="60"/>
  <c r="S140" i="60"/>
  <c r="R142" i="60"/>
  <c r="Q143" i="60"/>
  <c r="U147" i="60"/>
  <c r="S148" i="60"/>
  <c r="R150" i="60"/>
  <c r="Q151" i="60"/>
  <c r="T153" i="60"/>
  <c r="Q157" i="60"/>
  <c r="R162" i="60"/>
  <c r="S164" i="60"/>
  <c r="Q165" i="60"/>
  <c r="R170" i="60"/>
  <c r="S172" i="60"/>
  <c r="Q173" i="60"/>
  <c r="C68" i="64"/>
  <c r="C70" i="63"/>
  <c r="C71" i="63" s="1"/>
  <c r="I61" i="60"/>
  <c r="Q148" i="60"/>
  <c r="R42" i="60"/>
  <c r="Q138" i="60"/>
  <c r="T140" i="60"/>
  <c r="U142" i="60"/>
  <c r="S143" i="60"/>
  <c r="Q146" i="60"/>
  <c r="T148" i="60"/>
  <c r="U150" i="60"/>
  <c r="S151" i="60"/>
  <c r="S157" i="60"/>
  <c r="T164" i="60"/>
  <c r="S165" i="60"/>
  <c r="T172" i="60"/>
  <c r="S173" i="60"/>
  <c r="T173" i="60"/>
  <c r="Q140" i="60"/>
  <c r="R47" i="60"/>
  <c r="R140" i="60"/>
  <c r="R148" i="60"/>
  <c r="T151" i="60"/>
  <c r="T157" i="60"/>
  <c r="R172" i="60"/>
  <c r="C70" i="64"/>
  <c r="C72" i="63"/>
  <c r="R23" i="60"/>
  <c r="R143" i="60"/>
  <c r="Q144" i="60"/>
  <c r="R151" i="60"/>
  <c r="Q152" i="60"/>
  <c r="Q160" i="60"/>
  <c r="R165" i="60"/>
  <c r="Q168" i="60"/>
  <c r="C64" i="64"/>
  <c r="C65" i="64" s="1"/>
  <c r="C66" i="63"/>
  <c r="C67" i="63" s="1"/>
  <c r="Q164" i="60"/>
  <c r="R14" i="60"/>
  <c r="T143" i="60"/>
  <c r="S144" i="60"/>
  <c r="S152" i="60"/>
  <c r="S160" i="60"/>
  <c r="Q161" i="60"/>
  <c r="S168" i="60"/>
  <c r="Q169" i="60"/>
  <c r="C62" i="64"/>
  <c r="C63" i="64" s="1"/>
  <c r="C64" i="63"/>
  <c r="C65" i="63" s="1"/>
  <c r="C74" i="63"/>
  <c r="F19" i="50"/>
  <c r="L49"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R59" i="60" l="1"/>
  <c r="C46" i="62" s="1"/>
  <c r="R21" i="60"/>
  <c r="C26" i="62" s="1"/>
  <c r="R34" i="60"/>
  <c r="C28" i="62" s="1"/>
  <c r="R64" i="60"/>
  <c r="C47" i="62" s="1"/>
  <c r="R83" i="60"/>
  <c r="C48" i="62" s="1"/>
  <c r="R12" i="60"/>
  <c r="C22" i="62" s="1"/>
  <c r="R44" i="60"/>
  <c r="C25" i="62" s="1"/>
  <c r="R29" i="60"/>
  <c r="C27" i="62" s="1"/>
  <c r="R68" i="60"/>
  <c r="C50" i="62" s="1"/>
  <c r="R51" i="60"/>
  <c r="C29" i="62" s="1"/>
  <c r="R17" i="60"/>
  <c r="C23" i="62" s="1"/>
  <c r="R73" i="60"/>
  <c r="C51" i="62" s="1"/>
  <c r="R78" i="60"/>
  <c r="C52" i="62" s="1"/>
  <c r="R40" i="60"/>
  <c r="C24" i="62" s="1"/>
  <c r="C69" i="64"/>
  <c r="H12" i="50"/>
  <c r="D5" i="57"/>
  <c r="D6" i="57"/>
  <c r="D7" i="57"/>
  <c r="D8" i="57"/>
  <c r="D9" i="57"/>
  <c r="D10" i="57"/>
  <c r="D11" i="57"/>
  <c r="D12" i="57"/>
  <c r="D13" i="57"/>
  <c r="D14" i="57"/>
  <c r="D15" i="57"/>
  <c r="D16" i="57"/>
  <c r="D17" i="57"/>
  <c r="D18" i="57"/>
  <c r="D19" i="57"/>
  <c r="D20" i="57"/>
  <c r="D21" i="57"/>
  <c r="D22" i="57"/>
  <c r="D23" i="57"/>
  <c r="D24"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72" i="57"/>
  <c r="D73" i="57"/>
  <c r="D74" i="57"/>
  <c r="D75" i="57"/>
  <c r="D76" i="57"/>
  <c r="D77" i="57"/>
  <c r="D78" i="57"/>
  <c r="D79" i="57"/>
  <c r="D80" i="57"/>
  <c r="D81" i="57"/>
  <c r="D82" i="57"/>
  <c r="D83" i="57"/>
  <c r="D84" i="57"/>
  <c r="D85" i="57"/>
  <c r="D86" i="57"/>
  <c r="D87" i="57"/>
  <c r="D88" i="57"/>
  <c r="D89" i="57"/>
  <c r="D90" i="57"/>
  <c r="D91" i="57"/>
  <c r="D92" i="57"/>
  <c r="D93" i="57"/>
  <c r="D94" i="57"/>
  <c r="D95" i="57"/>
  <c r="D96" i="57"/>
  <c r="D97" i="57"/>
  <c r="D98" i="57"/>
  <c r="D99" i="57"/>
  <c r="D100" i="57"/>
  <c r="U70" i="57" l="1"/>
  <c r="U62" i="57"/>
  <c r="U53" i="57"/>
  <c r="F16" i="50" l="1"/>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D105" i="57" l="1"/>
  <c r="C105" i="57"/>
  <c r="B105" i="57"/>
  <c r="F100" i="57"/>
  <c r="E100" i="57"/>
  <c r="F99" i="57"/>
  <c r="E99" i="57"/>
  <c r="F98" i="57"/>
  <c r="E98" i="57"/>
  <c r="F97" i="57"/>
  <c r="E97" i="57"/>
  <c r="F96" i="57"/>
  <c r="E96" i="57"/>
  <c r="F95" i="57"/>
  <c r="E95" i="57"/>
  <c r="F94" i="57"/>
  <c r="E94" i="57"/>
  <c r="F93" i="57"/>
  <c r="E93" i="57"/>
  <c r="F92" i="57"/>
  <c r="E92" i="57"/>
  <c r="F91" i="57"/>
  <c r="E91" i="57"/>
  <c r="F90" i="57"/>
  <c r="E90" i="57"/>
  <c r="F89" i="57"/>
  <c r="E89" i="57"/>
  <c r="F88" i="57"/>
  <c r="E88" i="57"/>
  <c r="F87" i="57"/>
  <c r="E87" i="57"/>
  <c r="F86" i="57"/>
  <c r="E86" i="57"/>
  <c r="F85" i="57"/>
  <c r="E85" i="57"/>
  <c r="F84" i="57"/>
  <c r="E84" i="57"/>
  <c r="F83" i="57"/>
  <c r="E83" i="57"/>
  <c r="F82" i="57"/>
  <c r="E82" i="57"/>
  <c r="J81" i="57"/>
  <c r="H81" i="57"/>
  <c r="F81" i="57"/>
  <c r="E81" i="57"/>
  <c r="J80" i="57"/>
  <c r="H80" i="57"/>
  <c r="F80" i="57"/>
  <c r="E80" i="57"/>
  <c r="J79" i="57"/>
  <c r="H79" i="57"/>
  <c r="F79" i="57"/>
  <c r="E79" i="57"/>
  <c r="J78" i="57"/>
  <c r="H78" i="57"/>
  <c r="F78" i="57"/>
  <c r="E78" i="57"/>
  <c r="J77" i="57"/>
  <c r="H77" i="57"/>
  <c r="F77" i="57"/>
  <c r="E77" i="57"/>
  <c r="J76" i="57"/>
  <c r="H76" i="57"/>
  <c r="F76" i="57"/>
  <c r="E76" i="57"/>
  <c r="J75" i="57"/>
  <c r="H75" i="57"/>
  <c r="F75" i="57"/>
  <c r="E75" i="57"/>
  <c r="J74" i="57"/>
  <c r="H74" i="57"/>
  <c r="F74" i="57"/>
  <c r="E74" i="57"/>
  <c r="J73" i="57"/>
  <c r="H73" i="57"/>
  <c r="F73" i="57"/>
  <c r="E73" i="57"/>
  <c r="J72" i="57"/>
  <c r="H72" i="57"/>
  <c r="F72" i="57"/>
  <c r="E72" i="57"/>
  <c r="J71" i="57"/>
  <c r="H71" i="57"/>
  <c r="F71" i="57"/>
  <c r="E71" i="57"/>
  <c r="J70" i="57"/>
  <c r="H70" i="57"/>
  <c r="F70" i="57"/>
  <c r="E70" i="57"/>
  <c r="J69" i="57"/>
  <c r="H69" i="57"/>
  <c r="F69" i="57"/>
  <c r="E69" i="57"/>
  <c r="J68" i="57"/>
  <c r="H68" i="57"/>
  <c r="F68" i="57"/>
  <c r="E68" i="57"/>
  <c r="J67" i="57"/>
  <c r="H67" i="57"/>
  <c r="F67" i="57"/>
  <c r="E67" i="57"/>
  <c r="J66" i="57"/>
  <c r="H66" i="57"/>
  <c r="F66" i="57"/>
  <c r="E66" i="57"/>
  <c r="J65" i="57"/>
  <c r="H65" i="57"/>
  <c r="F65" i="57"/>
  <c r="E65" i="57"/>
  <c r="J64" i="57"/>
  <c r="H64" i="57"/>
  <c r="F64" i="57"/>
  <c r="E64" i="57"/>
  <c r="J63" i="57"/>
  <c r="H63" i="57"/>
  <c r="F63" i="57"/>
  <c r="E63" i="57"/>
  <c r="J62" i="57"/>
  <c r="H62" i="57"/>
  <c r="F62" i="57"/>
  <c r="E62" i="57"/>
  <c r="J61" i="57"/>
  <c r="H61" i="57"/>
  <c r="F61" i="57"/>
  <c r="E61" i="57"/>
  <c r="J60" i="57"/>
  <c r="H60" i="57"/>
  <c r="F60" i="57"/>
  <c r="E60" i="57"/>
  <c r="J59" i="57"/>
  <c r="H59" i="57"/>
  <c r="F59" i="57"/>
  <c r="E59" i="57"/>
  <c r="J58" i="57"/>
  <c r="H58" i="57"/>
  <c r="F58" i="57"/>
  <c r="E58" i="57"/>
  <c r="J57" i="57"/>
  <c r="H57" i="57"/>
  <c r="F57" i="57"/>
  <c r="E57" i="57"/>
  <c r="J56" i="57"/>
  <c r="H56" i="57"/>
  <c r="F56" i="57"/>
  <c r="E56" i="57"/>
  <c r="J55" i="57"/>
  <c r="H55" i="57"/>
  <c r="F55" i="57"/>
  <c r="E55" i="57"/>
  <c r="J54" i="57"/>
  <c r="H54" i="57"/>
  <c r="F54" i="57"/>
  <c r="E54" i="57"/>
  <c r="J53" i="57"/>
  <c r="H53" i="57"/>
  <c r="F53" i="57"/>
  <c r="E53" i="57"/>
  <c r="J52" i="57"/>
  <c r="H52" i="57"/>
  <c r="F52" i="57"/>
  <c r="E52" i="57"/>
  <c r="J51" i="57"/>
  <c r="H51" i="57"/>
  <c r="F51" i="57"/>
  <c r="E51" i="57"/>
  <c r="J50" i="57"/>
  <c r="H50" i="57"/>
  <c r="F50" i="57"/>
  <c r="E50" i="57"/>
  <c r="J49" i="57"/>
  <c r="H49" i="57"/>
  <c r="F49" i="57"/>
  <c r="E49" i="57"/>
  <c r="J48" i="57"/>
  <c r="H48" i="57"/>
  <c r="F48" i="57"/>
  <c r="E48" i="57"/>
  <c r="J47" i="57"/>
  <c r="H47" i="57"/>
  <c r="F47" i="57"/>
  <c r="E47" i="57"/>
  <c r="J46" i="57"/>
  <c r="H46" i="57"/>
  <c r="F46" i="57"/>
  <c r="E46" i="57"/>
  <c r="J45" i="57"/>
  <c r="H45" i="57"/>
  <c r="F45" i="57"/>
  <c r="E45" i="57"/>
  <c r="J44" i="57"/>
  <c r="H44" i="57"/>
  <c r="F44" i="57"/>
  <c r="E44" i="57"/>
  <c r="J43" i="57"/>
  <c r="H43" i="57"/>
  <c r="F43" i="57"/>
  <c r="E43" i="57"/>
  <c r="J42" i="57"/>
  <c r="K42" i="57" s="1"/>
  <c r="H42" i="57"/>
  <c r="F42" i="57"/>
  <c r="E42" i="57"/>
  <c r="J41" i="57"/>
  <c r="K41" i="57" s="1"/>
  <c r="H41" i="57"/>
  <c r="F41" i="57"/>
  <c r="E41" i="57"/>
  <c r="J40" i="57"/>
  <c r="H40" i="57"/>
  <c r="F40" i="57"/>
  <c r="E40" i="57"/>
  <c r="J39" i="57"/>
  <c r="K39" i="57" s="1"/>
  <c r="H39" i="57"/>
  <c r="F39" i="57"/>
  <c r="E39" i="57"/>
  <c r="J38" i="57"/>
  <c r="H38" i="57"/>
  <c r="F38" i="57"/>
  <c r="E38" i="57"/>
  <c r="J37" i="57"/>
  <c r="H37" i="57"/>
  <c r="F37" i="57"/>
  <c r="E37" i="57"/>
  <c r="J36" i="57"/>
  <c r="H36" i="57"/>
  <c r="F36" i="57"/>
  <c r="E36" i="57"/>
  <c r="J35" i="57"/>
  <c r="H35" i="57"/>
  <c r="F35" i="57"/>
  <c r="E35" i="57"/>
  <c r="J34" i="57"/>
  <c r="H34" i="57"/>
  <c r="F34" i="57"/>
  <c r="E34" i="57"/>
  <c r="J33" i="57"/>
  <c r="H33" i="57"/>
  <c r="F33" i="57"/>
  <c r="E33" i="57"/>
  <c r="J32" i="57"/>
  <c r="H32" i="57"/>
  <c r="F32" i="57"/>
  <c r="E32" i="57"/>
  <c r="J31" i="57"/>
  <c r="H31" i="57"/>
  <c r="F31" i="57"/>
  <c r="E31" i="57"/>
  <c r="J30" i="57"/>
  <c r="H30" i="57"/>
  <c r="F30" i="57"/>
  <c r="E30" i="57"/>
  <c r="J29" i="57"/>
  <c r="H29" i="57"/>
  <c r="F29" i="57"/>
  <c r="E29" i="57"/>
  <c r="J28" i="57"/>
  <c r="H28" i="57"/>
  <c r="F28" i="57"/>
  <c r="E28" i="57"/>
  <c r="J27" i="57"/>
  <c r="H27" i="57"/>
  <c r="F27" i="57"/>
  <c r="E27" i="57"/>
  <c r="J26" i="57"/>
  <c r="H26" i="57"/>
  <c r="F26" i="57"/>
  <c r="E26" i="57"/>
  <c r="J25" i="57"/>
  <c r="H25" i="57"/>
  <c r="F25" i="57"/>
  <c r="E25" i="57"/>
  <c r="J24" i="57"/>
  <c r="H24" i="57"/>
  <c r="F24" i="57"/>
  <c r="E24" i="57"/>
  <c r="J23" i="57"/>
  <c r="H23" i="57"/>
  <c r="F23" i="57"/>
  <c r="E23" i="57"/>
  <c r="J22" i="57"/>
  <c r="H22" i="57"/>
  <c r="F22" i="57"/>
  <c r="E22" i="57"/>
  <c r="J21" i="57"/>
  <c r="H21" i="57"/>
  <c r="F21" i="57"/>
  <c r="E21" i="57"/>
  <c r="J20" i="57"/>
  <c r="H20" i="57"/>
  <c r="F20" i="57"/>
  <c r="E20" i="57"/>
  <c r="J19" i="57"/>
  <c r="H19" i="57"/>
  <c r="F19" i="57"/>
  <c r="E19" i="57"/>
  <c r="J18" i="57"/>
  <c r="H18" i="57"/>
  <c r="F18" i="57"/>
  <c r="E18" i="57"/>
  <c r="J17" i="57"/>
  <c r="H17" i="57"/>
  <c r="F17" i="57"/>
  <c r="E17" i="57"/>
  <c r="J16" i="57"/>
  <c r="H16" i="57"/>
  <c r="F16" i="57"/>
  <c r="E16" i="57"/>
  <c r="J15" i="57"/>
  <c r="H15" i="57"/>
  <c r="F15" i="57"/>
  <c r="E15" i="57"/>
  <c r="J14" i="57"/>
  <c r="H14" i="57"/>
  <c r="F14" i="57"/>
  <c r="E14" i="57"/>
  <c r="J13" i="57"/>
  <c r="H13" i="57"/>
  <c r="F13" i="57"/>
  <c r="E13" i="57"/>
  <c r="J12" i="57"/>
  <c r="H12" i="57"/>
  <c r="F12" i="57"/>
  <c r="E12" i="57"/>
  <c r="J11" i="57"/>
  <c r="H11" i="57"/>
  <c r="F11" i="57"/>
  <c r="E11" i="57"/>
  <c r="J10" i="57"/>
  <c r="H10" i="57"/>
  <c r="F10" i="57"/>
  <c r="E10" i="57"/>
  <c r="J9" i="57"/>
  <c r="H9" i="57"/>
  <c r="F9" i="57"/>
  <c r="E9" i="57"/>
  <c r="J8" i="57"/>
  <c r="H8" i="57"/>
  <c r="F8" i="57"/>
  <c r="E8" i="57"/>
  <c r="J7" i="57"/>
  <c r="K7" i="57" s="1"/>
  <c r="H7" i="57"/>
  <c r="F7" i="57"/>
  <c r="E7" i="57"/>
  <c r="J6" i="57"/>
  <c r="H6" i="57"/>
  <c r="F6" i="57"/>
  <c r="E6" i="57"/>
  <c r="J5" i="57"/>
  <c r="H5" i="57"/>
  <c r="F5" i="57"/>
  <c r="E5" i="57"/>
  <c r="M10" i="57" l="1"/>
  <c r="K10" i="57"/>
  <c r="L9" i="57"/>
  <c r="K9" i="57"/>
  <c r="L13" i="57"/>
  <c r="K13" i="57"/>
  <c r="L8" i="57"/>
  <c r="K8" i="57"/>
  <c r="M14" i="57"/>
  <c r="K14" i="57"/>
  <c r="L20" i="57"/>
  <c r="K20" i="57"/>
  <c r="L24" i="57"/>
  <c r="K24" i="57"/>
  <c r="M30" i="57"/>
  <c r="K30" i="57"/>
  <c r="L32" i="57"/>
  <c r="K32" i="57"/>
  <c r="L36" i="57"/>
  <c r="K36" i="57"/>
  <c r="L40" i="57"/>
  <c r="K40" i="57"/>
  <c r="N40" i="57" s="1"/>
  <c r="K44" i="57"/>
  <c r="M52" i="57"/>
  <c r="K52" i="57"/>
  <c r="M64" i="57"/>
  <c r="K64" i="57"/>
  <c r="M15" i="57"/>
  <c r="K15" i="57"/>
  <c r="L6" i="57"/>
  <c r="K6" i="57"/>
  <c r="L16" i="57"/>
  <c r="K16" i="57"/>
  <c r="M22" i="57"/>
  <c r="K22" i="57"/>
  <c r="L28" i="57"/>
  <c r="K28" i="57"/>
  <c r="M34" i="57"/>
  <c r="K34" i="57"/>
  <c r="N34" i="57" s="1"/>
  <c r="M38" i="57"/>
  <c r="K38" i="57"/>
  <c r="L46" i="57"/>
  <c r="K46" i="57"/>
  <c r="L54" i="57"/>
  <c r="K54" i="57"/>
  <c r="M56" i="57"/>
  <c r="K56" i="57"/>
  <c r="L58" i="57"/>
  <c r="K58" i="57"/>
  <c r="L66" i="57"/>
  <c r="K66" i="57"/>
  <c r="L68" i="57"/>
  <c r="K68" i="57"/>
  <c r="L70" i="57"/>
  <c r="K70" i="57"/>
  <c r="M72" i="57"/>
  <c r="K72" i="57"/>
  <c r="L74" i="57"/>
  <c r="K74" i="57"/>
  <c r="M76" i="57"/>
  <c r="K76" i="57"/>
  <c r="L78" i="57"/>
  <c r="K78" i="57"/>
  <c r="L80" i="57"/>
  <c r="K80" i="57"/>
  <c r="G5" i="57"/>
  <c r="M48" i="57"/>
  <c r="K48" i="57"/>
  <c r="L62" i="57"/>
  <c r="K62" i="57"/>
  <c r="L5" i="57"/>
  <c r="K5" i="57"/>
  <c r="M11" i="57"/>
  <c r="K11" i="57"/>
  <c r="M19" i="57"/>
  <c r="K19" i="57"/>
  <c r="L21" i="57"/>
  <c r="K21" i="57"/>
  <c r="M23" i="57"/>
  <c r="K23" i="57"/>
  <c r="L25" i="57"/>
  <c r="K25" i="57"/>
  <c r="M27" i="57"/>
  <c r="K27" i="57"/>
  <c r="L29" i="57"/>
  <c r="K29" i="57"/>
  <c r="M31" i="57"/>
  <c r="K31" i="57"/>
  <c r="L33" i="57"/>
  <c r="K33" i="57"/>
  <c r="M35" i="57"/>
  <c r="K35" i="57"/>
  <c r="L37" i="57"/>
  <c r="K37" i="57"/>
  <c r="M43" i="57"/>
  <c r="K43" i="57"/>
  <c r="M45" i="57"/>
  <c r="K45" i="57"/>
  <c r="L47" i="57"/>
  <c r="K47" i="57"/>
  <c r="M49" i="57"/>
  <c r="K49" i="57"/>
  <c r="L51" i="57"/>
  <c r="N51" i="57" s="1"/>
  <c r="K51" i="57"/>
  <c r="M53" i="57"/>
  <c r="K53" i="57"/>
  <c r="L55" i="57"/>
  <c r="K55" i="57"/>
  <c r="M57" i="57"/>
  <c r="K57" i="57"/>
  <c r="L59" i="57"/>
  <c r="K59" i="57"/>
  <c r="M61" i="57"/>
  <c r="K61" i="57"/>
  <c r="L63" i="57"/>
  <c r="K63" i="57"/>
  <c r="M65" i="57"/>
  <c r="K65" i="57"/>
  <c r="L67" i="57"/>
  <c r="K67" i="57"/>
  <c r="M69" i="57"/>
  <c r="K69" i="57"/>
  <c r="L71" i="57"/>
  <c r="K71" i="57"/>
  <c r="M73" i="57"/>
  <c r="K73" i="57"/>
  <c r="L75" i="57"/>
  <c r="K75" i="57"/>
  <c r="M77" i="57"/>
  <c r="K77" i="57"/>
  <c r="L79" i="57"/>
  <c r="K79" i="57"/>
  <c r="M81" i="57"/>
  <c r="K81" i="57"/>
  <c r="N81" i="57" s="1"/>
  <c r="L12" i="57"/>
  <c r="K12" i="57"/>
  <c r="M18" i="57"/>
  <c r="K18" i="57"/>
  <c r="M26" i="57"/>
  <c r="K26" i="57"/>
  <c r="L50" i="57"/>
  <c r="K50" i="57"/>
  <c r="M60" i="57"/>
  <c r="K60" i="57"/>
  <c r="L17" i="57"/>
  <c r="K17" i="57"/>
  <c r="L34" i="57"/>
  <c r="L22" i="57"/>
  <c r="L81" i="57"/>
  <c r="M51" i="57"/>
  <c r="M42" i="57"/>
  <c r="L45" i="57"/>
  <c r="G43" i="57"/>
  <c r="R20" i="57" s="1"/>
  <c r="T20" i="57" s="1"/>
  <c r="G60" i="57"/>
  <c r="R27" i="57" s="1"/>
  <c r="T27" i="57" s="1"/>
  <c r="L26" i="57"/>
  <c r="G24" i="57"/>
  <c r="G14" i="57"/>
  <c r="L18" i="57"/>
  <c r="N18" i="57" s="1"/>
  <c r="G22" i="57"/>
  <c r="R12" i="57" s="1"/>
  <c r="T12" i="57" s="1"/>
  <c r="N38" i="57"/>
  <c r="L77" i="57"/>
  <c r="G39" i="57"/>
  <c r="G46" i="57"/>
  <c r="G57" i="57"/>
  <c r="R25" i="57" s="1"/>
  <c r="T25" i="57" s="1"/>
  <c r="L64" i="57"/>
  <c r="N64" i="57" s="1"/>
  <c r="G66" i="57"/>
  <c r="R30" i="57" s="1"/>
  <c r="T30" i="57" s="1"/>
  <c r="G68" i="57"/>
  <c r="L30" i="57"/>
  <c r="G18" i="57"/>
  <c r="R10" i="57" s="1"/>
  <c r="T10" i="57" s="1"/>
  <c r="M55" i="57"/>
  <c r="L69" i="57"/>
  <c r="G98" i="57"/>
  <c r="G15" i="57"/>
  <c r="R9" i="57" s="1"/>
  <c r="T9" i="57" s="1"/>
  <c r="N22" i="57"/>
  <c r="M39" i="57"/>
  <c r="E105" i="57"/>
  <c r="R41" i="57" s="1"/>
  <c r="T41" i="57" s="1"/>
  <c r="G72" i="57"/>
  <c r="R33" i="57" s="1"/>
  <c r="T33" i="57" s="1"/>
  <c r="L38" i="57"/>
  <c r="G52" i="57"/>
  <c r="R23" i="57" s="1"/>
  <c r="T23" i="57" s="1"/>
  <c r="G63" i="57"/>
  <c r="R28" i="57" s="1"/>
  <c r="T28" i="57" s="1"/>
  <c r="G77" i="57"/>
  <c r="G78" i="57"/>
  <c r="R36" i="57" s="1"/>
  <c r="T36" i="57" s="1"/>
  <c r="G99" i="57"/>
  <c r="L48" i="57"/>
  <c r="N48" i="57" s="1"/>
  <c r="G50" i="57"/>
  <c r="L52" i="57"/>
  <c r="M68" i="57"/>
  <c r="L11" i="57"/>
  <c r="G19" i="57"/>
  <c r="R11" i="57" s="1"/>
  <c r="T11" i="57" s="1"/>
  <c r="G30" i="57"/>
  <c r="G34" i="57"/>
  <c r="R17" i="57" s="1"/>
  <c r="T17" i="57" s="1"/>
  <c r="G38" i="57"/>
  <c r="R18" i="57" s="1"/>
  <c r="T18" i="57" s="1"/>
  <c r="G42" i="57"/>
  <c r="R19" i="57" s="1"/>
  <c r="T19" i="57" s="1"/>
  <c r="G56" i="57"/>
  <c r="G75" i="57"/>
  <c r="R34" i="57" s="1"/>
  <c r="T34" i="57" s="1"/>
  <c r="G26" i="57"/>
  <c r="R14" i="57" s="1"/>
  <c r="T14" i="57" s="1"/>
  <c r="G29" i="57"/>
  <c r="R15" i="57" s="1"/>
  <c r="T15" i="57" s="1"/>
  <c r="G41" i="57"/>
  <c r="G48" i="57"/>
  <c r="L57" i="57"/>
  <c r="M63" i="57"/>
  <c r="N63" i="57" s="1"/>
  <c r="M80" i="57"/>
  <c r="N80" i="57" s="1"/>
  <c r="G11" i="57"/>
  <c r="R7" i="57" s="1"/>
  <c r="T7" i="57" s="1"/>
  <c r="L35" i="57"/>
  <c r="G51" i="57"/>
  <c r="R22" i="57" s="1"/>
  <c r="T22" i="57" s="1"/>
  <c r="G64" i="57"/>
  <c r="R29" i="57" s="1"/>
  <c r="T29" i="57" s="1"/>
  <c r="L76" i="57"/>
  <c r="N76" i="57" s="1"/>
  <c r="G80" i="57"/>
  <c r="L19" i="57"/>
  <c r="N19" i="57" s="1"/>
  <c r="G32" i="57"/>
  <c r="M75" i="57"/>
  <c r="G10" i="57"/>
  <c r="L15" i="57"/>
  <c r="N15" i="57" s="1"/>
  <c r="G20" i="57"/>
  <c r="L23" i="57"/>
  <c r="M33" i="57"/>
  <c r="N33" i="57" s="1"/>
  <c r="G35" i="57"/>
  <c r="N52" i="57"/>
  <c r="L65" i="57"/>
  <c r="G76" i="57"/>
  <c r="R35" i="57" s="1"/>
  <c r="T35" i="57" s="1"/>
  <c r="G84" i="57"/>
  <c r="G100" i="57"/>
  <c r="R40" i="57" s="1"/>
  <c r="T40" i="57" s="1"/>
  <c r="G7" i="57"/>
  <c r="G25" i="57"/>
  <c r="R13" i="57" s="1"/>
  <c r="T13" i="57" s="1"/>
  <c r="M40" i="57"/>
  <c r="G47" i="57"/>
  <c r="R21" i="57" s="1"/>
  <c r="T21" i="57" s="1"/>
  <c r="G53" i="57"/>
  <c r="G54" i="57"/>
  <c r="R24" i="57" s="1"/>
  <c r="T24" i="57" s="1"/>
  <c r="G65" i="57"/>
  <c r="M67" i="57"/>
  <c r="M79" i="57"/>
  <c r="N79" i="57" s="1"/>
  <c r="G87" i="57"/>
  <c r="G92" i="57"/>
  <c r="G95" i="57"/>
  <c r="L56" i="57"/>
  <c r="M21" i="57"/>
  <c r="L27" i="57"/>
  <c r="N27" i="57" s="1"/>
  <c r="G33" i="57"/>
  <c r="R16" i="57" s="1"/>
  <c r="T16" i="57" s="1"/>
  <c r="M37" i="57"/>
  <c r="L44" i="57"/>
  <c r="G58" i="57"/>
  <c r="R26" i="57" s="1"/>
  <c r="T26" i="57" s="1"/>
  <c r="L61" i="57"/>
  <c r="G69" i="57"/>
  <c r="R31" i="57" s="1"/>
  <c r="T31" i="57" s="1"/>
  <c r="G70" i="57"/>
  <c r="R32" i="57" s="1"/>
  <c r="T32" i="57" s="1"/>
  <c r="N72" i="57"/>
  <c r="L73" i="57"/>
  <c r="N73" i="57" s="1"/>
  <c r="G81" i="57"/>
  <c r="R37" i="57" s="1"/>
  <c r="T37" i="57" s="1"/>
  <c r="G82" i="57"/>
  <c r="R38" i="57" s="1"/>
  <c r="T38" i="57" s="1"/>
  <c r="G85" i="57"/>
  <c r="G90" i="57"/>
  <c r="G93" i="57"/>
  <c r="G6" i="57"/>
  <c r="G9" i="57"/>
  <c r="G13" i="57"/>
  <c r="G17" i="57"/>
  <c r="N26" i="57"/>
  <c r="L31" i="57"/>
  <c r="G40" i="57"/>
  <c r="M44" i="57"/>
  <c r="L49" i="57"/>
  <c r="M59" i="57"/>
  <c r="L60" i="57"/>
  <c r="G67" i="57"/>
  <c r="M71" i="57"/>
  <c r="N71" i="57" s="1"/>
  <c r="L72" i="57"/>
  <c r="G79" i="57"/>
  <c r="G88" i="57"/>
  <c r="G96" i="57"/>
  <c r="G36" i="57"/>
  <c r="G45" i="57"/>
  <c r="G55" i="57"/>
  <c r="G83" i="57"/>
  <c r="G91" i="57"/>
  <c r="R39" i="57" s="1"/>
  <c r="T39" i="57" s="1"/>
  <c r="R5" i="57"/>
  <c r="T5" i="57" s="1"/>
  <c r="G8" i="57"/>
  <c r="R6" i="57" s="1"/>
  <c r="T6" i="57" s="1"/>
  <c r="G12" i="57"/>
  <c r="R8" i="57" s="1"/>
  <c r="T8" i="57" s="1"/>
  <c r="G16" i="57"/>
  <c r="G21" i="57"/>
  <c r="G23" i="57"/>
  <c r="G27" i="57"/>
  <c r="G28" i="57"/>
  <c r="G37" i="57"/>
  <c r="G44" i="57"/>
  <c r="M47" i="57"/>
  <c r="L53" i="57"/>
  <c r="N53" i="57" s="1"/>
  <c r="G61" i="57"/>
  <c r="G62" i="57"/>
  <c r="G73" i="57"/>
  <c r="G74" i="57"/>
  <c r="G86" i="57"/>
  <c r="G31" i="57"/>
  <c r="G49" i="57"/>
  <c r="G59" i="57"/>
  <c r="G71" i="57"/>
  <c r="G89" i="57"/>
  <c r="G94" i="57"/>
  <c r="G97" i="57"/>
  <c r="M17" i="57"/>
  <c r="L10" i="57"/>
  <c r="N10" i="57" s="1"/>
  <c r="L14" i="57"/>
  <c r="N14" i="57" s="1"/>
  <c r="M13" i="57"/>
  <c r="L7" i="57"/>
  <c r="N11" i="57"/>
  <c r="N35" i="57"/>
  <c r="L41" i="57"/>
  <c r="N45" i="57"/>
  <c r="N61" i="57"/>
  <c r="N69" i="57"/>
  <c r="N77" i="57"/>
  <c r="M6" i="57"/>
  <c r="M9" i="57"/>
  <c r="N9" i="57" s="1"/>
  <c r="M25" i="57"/>
  <c r="M29" i="57"/>
  <c r="M7" i="57"/>
  <c r="M41" i="57"/>
  <c r="N32" i="57"/>
  <c r="N36" i="57"/>
  <c r="L39" i="57"/>
  <c r="N39" i="57" s="1"/>
  <c r="L42" i="57"/>
  <c r="M5" i="57"/>
  <c r="M8" i="57"/>
  <c r="M12" i="57"/>
  <c r="M16" i="57"/>
  <c r="N16" i="57" s="1"/>
  <c r="N17" i="57"/>
  <c r="M20" i="57"/>
  <c r="N20" i="57" s="1"/>
  <c r="M24" i="57"/>
  <c r="N24" i="57" s="1"/>
  <c r="N25" i="57"/>
  <c r="M28" i="57"/>
  <c r="N28" i="57" s="1"/>
  <c r="M32" i="57"/>
  <c r="M36" i="57"/>
  <c r="L43" i="57"/>
  <c r="M46" i="57"/>
  <c r="N46" i="57" s="1"/>
  <c r="N47" i="57"/>
  <c r="M50" i="57"/>
  <c r="M54" i="57"/>
  <c r="N54" i="57" s="1"/>
  <c r="N55" i="57"/>
  <c r="M58" i="57"/>
  <c r="N58" i="57" s="1"/>
  <c r="M62" i="57"/>
  <c r="M66" i="57"/>
  <c r="N66" i="57" s="1"/>
  <c r="M70" i="57"/>
  <c r="M74" i="57"/>
  <c r="N74" i="57" s="1"/>
  <c r="M78" i="57"/>
  <c r="N13" i="57" l="1"/>
  <c r="N75" i="57"/>
  <c r="N68" i="57"/>
  <c r="N62" i="57"/>
  <c r="N43" i="57"/>
  <c r="N59" i="57"/>
  <c r="N5" i="57"/>
  <c r="N41" i="57"/>
  <c r="N31" i="57"/>
  <c r="N12" i="57"/>
  <c r="N30" i="57"/>
  <c r="N8" i="57"/>
  <c r="N42" i="57"/>
  <c r="N60" i="57"/>
  <c r="N67" i="57"/>
  <c r="N23" i="57"/>
  <c r="N78" i="57"/>
  <c r="N70" i="57"/>
  <c r="N56" i="57"/>
  <c r="N6" i="57"/>
  <c r="N44" i="57"/>
  <c r="N50" i="57"/>
  <c r="N65" i="57"/>
  <c r="N57" i="57"/>
  <c r="N49" i="57"/>
  <c r="N37" i="57"/>
  <c r="N29" i="57"/>
  <c r="N21" i="57"/>
  <c r="N7" i="57"/>
  <c r="C47" i="50" l="1"/>
  <c r="G43" i="50"/>
  <c r="F17" i="50" l="1"/>
  <c r="C17" i="50"/>
  <c r="F15" i="50"/>
  <c r="F20" i="50" l="1"/>
  <c r="H45" i="50" l="1"/>
  <c r="I45" i="50" s="1"/>
  <c r="J45" i="50" s="1"/>
  <c r="K45" i="50" s="1"/>
  <c r="G46" i="50" l="1"/>
  <c r="H46" i="50" l="1"/>
  <c r="I46" i="50" s="1"/>
  <c r="J46" i="50" s="1"/>
  <c r="K46"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96" i="32"/>
  <c r="F105" i="32"/>
  <c r="F128"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15" i="32" l="1"/>
  <c r="F16" i="32" s="1"/>
  <c r="F47" i="50" s="1"/>
  <c r="F25" i="50" l="1"/>
  <c r="G47" i="50"/>
  <c r="F27" i="50" l="1"/>
  <c r="F28" i="50" s="1"/>
  <c r="F31" i="50" s="1"/>
  <c r="F32" i="50" s="1"/>
  <c r="K47" i="50"/>
  <c r="J47" i="50"/>
  <c r="I47" i="50"/>
  <c r="H47" i="50"/>
  <c r="G26" i="50" l="1"/>
  <c r="G27" i="50"/>
  <c r="G28" i="50" s="1"/>
  <c r="G31" i="50" l="1"/>
  <c r="G32" i="50" s="1"/>
  <c r="G35" i="50" s="1"/>
  <c r="G30" i="50"/>
  <c r="G29" i="50"/>
  <c r="F34" i="50"/>
  <c r="F48" i="50" s="1"/>
  <c r="F29" i="50"/>
  <c r="F30" i="50"/>
  <c r="F35" i="50"/>
  <c r="F49" i="50" s="1"/>
  <c r="G34" i="50" l="1"/>
  <c r="F70" i="50"/>
  <c r="F71" i="50"/>
  <c r="L81" i="50"/>
  <c r="L79" i="50"/>
  <c r="L82" i="50"/>
  <c r="L80" i="50"/>
  <c r="C21" i="61"/>
  <c r="L74" i="50"/>
  <c r="L71" i="50"/>
  <c r="L73" i="50"/>
  <c r="L72" i="50"/>
  <c r="L70" i="50"/>
  <c r="C20" i="61"/>
  <c r="C25" i="61"/>
  <c r="D9" i="62"/>
  <c r="J49" i="50"/>
  <c r="I49" i="50"/>
  <c r="D7" i="66"/>
  <c r="C27" i="61"/>
  <c r="C26" i="61"/>
  <c r="G49" i="50"/>
  <c r="K49" i="50"/>
  <c r="Q82" i="50" s="1"/>
  <c r="C28" i="61"/>
  <c r="H49" i="50"/>
  <c r="D7" i="65"/>
  <c r="C17" i="61"/>
  <c r="D7" i="63"/>
  <c r="K48" i="50"/>
  <c r="C19" i="61"/>
  <c r="D8" i="62"/>
  <c r="J48" i="50"/>
  <c r="C18" i="61"/>
  <c r="H48" i="50"/>
  <c r="I48" i="50"/>
  <c r="D7" i="64"/>
  <c r="G48" i="50"/>
  <c r="D191" i="64" l="1"/>
  <c r="D173" i="64"/>
  <c r="D190" i="64"/>
  <c r="D172" i="64"/>
  <c r="D180" i="64"/>
  <c r="D203" i="64"/>
  <c r="D202" i="64"/>
  <c r="D189" i="64"/>
  <c r="D171" i="64"/>
  <c r="D200" i="64"/>
  <c r="D169" i="64"/>
  <c r="D193" i="64"/>
  <c r="D179" i="64"/>
  <c r="D201" i="64"/>
  <c r="D183" i="64"/>
  <c r="D170" i="64"/>
  <c r="D182" i="64"/>
  <c r="D192" i="64"/>
  <c r="D199" i="64"/>
  <c r="D181" i="64"/>
  <c r="D193" i="63"/>
  <c r="D174" i="63"/>
  <c r="D181" i="63"/>
  <c r="D205" i="63"/>
  <c r="D192" i="63"/>
  <c r="D173" i="63"/>
  <c r="D204" i="63"/>
  <c r="L204" i="63" s="1"/>
  <c r="D191" i="63"/>
  <c r="D172" i="63"/>
  <c r="D183" i="63"/>
  <c r="D203" i="63"/>
  <c r="L203" i="63" s="1"/>
  <c r="D185" i="63"/>
  <c r="D202" i="63"/>
  <c r="D184" i="63"/>
  <c r="L184" i="63" s="1"/>
  <c r="D201" i="63"/>
  <c r="D195" i="63"/>
  <c r="L195" i="63" s="1"/>
  <c r="D182" i="63"/>
  <c r="D194" i="63"/>
  <c r="L194" i="63" s="1"/>
  <c r="Q70" i="50"/>
  <c r="Q74" i="50"/>
  <c r="Q71" i="50"/>
  <c r="N81" i="50"/>
  <c r="N79" i="50"/>
  <c r="D185" i="66"/>
  <c r="D183" i="66"/>
  <c r="D174" i="66"/>
  <c r="D165" i="66"/>
  <c r="D156" i="66"/>
  <c r="D176" i="66"/>
  <c r="D167" i="66"/>
  <c r="D158" i="66"/>
  <c r="D66" i="66"/>
  <c r="D187" i="65"/>
  <c r="L187" i="65" s="1"/>
  <c r="D178" i="65"/>
  <c r="L178" i="65" s="1"/>
  <c r="D169" i="65"/>
  <c r="D68" i="65"/>
  <c r="D67" i="65"/>
  <c r="D66" i="65"/>
  <c r="E71" i="65"/>
  <c r="D63" i="65"/>
  <c r="D69" i="65"/>
  <c r="D80" i="65" s="1"/>
  <c r="D62" i="65"/>
  <c r="D71" i="65"/>
  <c r="D70" i="65"/>
  <c r="D61" i="66"/>
  <c r="D64" i="66"/>
  <c r="E69" i="66"/>
  <c r="D67" i="66"/>
  <c r="D60" i="66"/>
  <c r="D65" i="66"/>
  <c r="D69" i="66"/>
  <c r="D68" i="66"/>
  <c r="L83" i="50"/>
  <c r="O80" i="50"/>
  <c r="O79" i="50"/>
  <c r="O82" i="50"/>
  <c r="O81" i="50"/>
  <c r="N80" i="50"/>
  <c r="N82" i="50"/>
  <c r="Q81" i="50"/>
  <c r="Q80" i="50"/>
  <c r="Q79" i="50"/>
  <c r="P81" i="50"/>
  <c r="P80" i="50"/>
  <c r="P82" i="50"/>
  <c r="P79" i="50"/>
  <c r="M79" i="50"/>
  <c r="M80" i="50"/>
  <c r="M82" i="50"/>
  <c r="M81" i="50"/>
  <c r="L75" i="50"/>
  <c r="M70" i="50"/>
  <c r="M73" i="50"/>
  <c r="M74" i="50"/>
  <c r="M71" i="50"/>
  <c r="M72" i="50"/>
  <c r="Q72" i="50"/>
  <c r="Q73" i="50"/>
  <c r="O71" i="50"/>
  <c r="O74" i="50"/>
  <c r="O70" i="50"/>
  <c r="O73" i="50"/>
  <c r="O72" i="50"/>
  <c r="N71" i="50"/>
  <c r="N72" i="50"/>
  <c r="N70" i="50"/>
  <c r="N73" i="50"/>
  <c r="N74" i="50"/>
  <c r="P72" i="50"/>
  <c r="P71" i="50"/>
  <c r="P74" i="50"/>
  <c r="P70" i="50"/>
  <c r="P73" i="50"/>
  <c r="E9" i="62"/>
  <c r="D25" i="61"/>
  <c r="E7" i="66"/>
  <c r="D27" i="61"/>
  <c r="D26" i="61"/>
  <c r="D12" i="61"/>
  <c r="D28" i="61"/>
  <c r="E7" i="65"/>
  <c r="H17" i="61"/>
  <c r="I8" i="62"/>
  <c r="I7" i="64"/>
  <c r="H20" i="61"/>
  <c r="I7" i="63"/>
  <c r="H21" i="61"/>
  <c r="H18" i="61"/>
  <c r="H7" i="61"/>
  <c r="H19" i="61"/>
  <c r="E76" i="63"/>
  <c r="D65" i="63"/>
  <c r="D64" i="63"/>
  <c r="D78" i="63"/>
  <c r="D68" i="63"/>
  <c r="D141" i="63"/>
  <c r="D73" i="63"/>
  <c r="D171" i="63"/>
  <c r="D72" i="63"/>
  <c r="D133" i="63"/>
  <c r="D118" i="63"/>
  <c r="E79" i="63"/>
  <c r="L182" i="63"/>
  <c r="L173" i="63"/>
  <c r="L172" i="63"/>
  <c r="L201" i="63"/>
  <c r="D117" i="63"/>
  <c r="D120" i="63" s="1"/>
  <c r="D18" i="63" s="1"/>
  <c r="D69" i="63"/>
  <c r="D127" i="63"/>
  <c r="L202" i="63"/>
  <c r="D79" i="63"/>
  <c r="L205" i="63"/>
  <c r="D71" i="63"/>
  <c r="E71" i="63"/>
  <c r="E70" i="63"/>
  <c r="D126" i="63"/>
  <c r="D134" i="63"/>
  <c r="L134" i="63" s="1"/>
  <c r="D119" i="63"/>
  <c r="L183" i="63"/>
  <c r="D142" i="63"/>
  <c r="L142" i="63" s="1"/>
  <c r="L193" i="63"/>
  <c r="L185" i="63"/>
  <c r="D74" i="63"/>
  <c r="L192" i="63"/>
  <c r="D135" i="63"/>
  <c r="L135" i="63" s="1"/>
  <c r="D175" i="63"/>
  <c r="L175" i="63" s="1"/>
  <c r="D77" i="63"/>
  <c r="D75" i="63"/>
  <c r="D125" i="63"/>
  <c r="D128" i="63" s="1"/>
  <c r="D19" i="63" s="1"/>
  <c r="D143" i="63"/>
  <c r="L143" i="63" s="1"/>
  <c r="D76" i="63"/>
  <c r="D70" i="63"/>
  <c r="L174" i="63"/>
  <c r="E75" i="63"/>
  <c r="D71" i="61" s="1"/>
  <c r="D8" i="61"/>
  <c r="F75" i="50"/>
  <c r="C22" i="61"/>
  <c r="D129" i="66"/>
  <c r="D121" i="66"/>
  <c r="D122" i="66"/>
  <c r="D114" i="66"/>
  <c r="D128" i="66"/>
  <c r="D131" i="66" s="1"/>
  <c r="D19" i="66" s="1"/>
  <c r="D106" i="66"/>
  <c r="D104" i="66"/>
  <c r="D107" i="66" s="1"/>
  <c r="D16" i="66" s="1"/>
  <c r="D120" i="66"/>
  <c r="D123" i="66" s="1"/>
  <c r="D18" i="66" s="1"/>
  <c r="D112" i="66"/>
  <c r="D115" i="66" s="1"/>
  <c r="D17" i="66" s="1"/>
  <c r="D105" i="66"/>
  <c r="D130" i="66"/>
  <c r="D113" i="66"/>
  <c r="F8" i="62"/>
  <c r="F7" i="64"/>
  <c r="E17" i="61"/>
  <c r="F7" i="63"/>
  <c r="E18" i="61"/>
  <c r="E7" i="61"/>
  <c r="E19" i="61"/>
  <c r="E21" i="61"/>
  <c r="E20" i="61"/>
  <c r="D130" i="65"/>
  <c r="D176" i="65"/>
  <c r="D160" i="65"/>
  <c r="L160" i="65" s="1"/>
  <c r="D131" i="65"/>
  <c r="L131" i="65" s="1"/>
  <c r="D116" i="65"/>
  <c r="L169" i="65"/>
  <c r="D158" i="65"/>
  <c r="D167" i="65"/>
  <c r="D114" i="65"/>
  <c r="D117" i="65" s="1"/>
  <c r="D19" i="65" s="1"/>
  <c r="D108" i="65"/>
  <c r="D122" i="65"/>
  <c r="D115" i="65"/>
  <c r="D107" i="65"/>
  <c r="D106" i="65"/>
  <c r="D109" i="65" s="1"/>
  <c r="D18" i="65" s="1"/>
  <c r="D123" i="65"/>
  <c r="L123" i="65" s="1"/>
  <c r="D132" i="65"/>
  <c r="L132" i="65" s="1"/>
  <c r="D124" i="65"/>
  <c r="L124" i="65" s="1"/>
  <c r="D185" i="65"/>
  <c r="L185" i="65" s="1"/>
  <c r="G9" i="62"/>
  <c r="G7" i="66"/>
  <c r="G7" i="65"/>
  <c r="F27" i="61"/>
  <c r="F12" i="61"/>
  <c r="F25" i="61"/>
  <c r="F26" i="61"/>
  <c r="F28" i="61"/>
  <c r="F7" i="65"/>
  <c r="E12" i="61"/>
  <c r="E27" i="61"/>
  <c r="E28" i="61"/>
  <c r="F9" i="62"/>
  <c r="F7" i="66"/>
  <c r="E25" i="61"/>
  <c r="E26" i="61"/>
  <c r="H9" i="62"/>
  <c r="G26" i="61"/>
  <c r="G27" i="61"/>
  <c r="H7" i="65"/>
  <c r="G12" i="61"/>
  <c r="H7" i="66"/>
  <c r="G25" i="61"/>
  <c r="G28" i="61"/>
  <c r="F17" i="61"/>
  <c r="G8" i="62"/>
  <c r="G7" i="64"/>
  <c r="F18" i="61"/>
  <c r="F19" i="61"/>
  <c r="F21" i="61"/>
  <c r="F7" i="61"/>
  <c r="G7" i="63"/>
  <c r="F20" i="61"/>
  <c r="G17" i="61"/>
  <c r="H7" i="64"/>
  <c r="H8" i="62"/>
  <c r="G18" i="61"/>
  <c r="H7" i="63"/>
  <c r="G21" i="61"/>
  <c r="G19" i="61"/>
  <c r="G7" i="61"/>
  <c r="G20" i="61"/>
  <c r="D40" i="62"/>
  <c r="D41" i="62"/>
  <c r="D45" i="66" s="1"/>
  <c r="D47" i="65" s="1"/>
  <c r="L47" i="65" s="1"/>
  <c r="D39" i="62"/>
  <c r="D42" i="62"/>
  <c r="D62" i="64"/>
  <c r="D66" i="64"/>
  <c r="D63" i="64"/>
  <c r="D76" i="64"/>
  <c r="D70" i="64"/>
  <c r="D71" i="64"/>
  <c r="D67" i="64"/>
  <c r="D140" i="64"/>
  <c r="D117" i="64"/>
  <c r="D75" i="64"/>
  <c r="D124" i="64"/>
  <c r="E74" i="64"/>
  <c r="D141" i="64"/>
  <c r="D72" i="64"/>
  <c r="E73" i="64"/>
  <c r="D116" i="64"/>
  <c r="D115" i="64"/>
  <c r="D118" i="64" s="1"/>
  <c r="D16" i="64" s="1"/>
  <c r="D77" i="64"/>
  <c r="E69" i="64"/>
  <c r="D139" i="64"/>
  <c r="D142" i="64" s="1"/>
  <c r="D19" i="64" s="1"/>
  <c r="D68" i="64"/>
  <c r="D132" i="64"/>
  <c r="D73" i="64"/>
  <c r="D133" i="64"/>
  <c r="D123" i="64"/>
  <c r="D126" i="64" s="1"/>
  <c r="D17" i="64" s="1"/>
  <c r="D74" i="64"/>
  <c r="E77" i="64"/>
  <c r="D131" i="64"/>
  <c r="D134" i="64" s="1"/>
  <c r="D18" i="64" s="1"/>
  <c r="D69" i="64"/>
  <c r="D125" i="64"/>
  <c r="E68" i="64"/>
  <c r="E7" i="64"/>
  <c r="E8" i="62"/>
  <c r="E7" i="63"/>
  <c r="D17" i="61"/>
  <c r="D20" i="61"/>
  <c r="D7" i="61"/>
  <c r="D18" i="61"/>
  <c r="D19" i="61"/>
  <c r="D21" i="61"/>
  <c r="D14" i="62"/>
  <c r="D18" i="62"/>
  <c r="D15" i="62"/>
  <c r="D16" i="62"/>
  <c r="D17" i="62"/>
  <c r="I7" i="65"/>
  <c r="H25" i="61"/>
  <c r="I7" i="66"/>
  <c r="H27" i="61"/>
  <c r="H12" i="61"/>
  <c r="H28" i="61"/>
  <c r="H26" i="61"/>
  <c r="I9" i="62"/>
  <c r="C29" i="61"/>
  <c r="D97" i="63" l="1"/>
  <c r="I202" i="63"/>
  <c r="I193" i="63"/>
  <c r="I184" i="63"/>
  <c r="I203" i="63"/>
  <c r="I194" i="63"/>
  <c r="I185" i="63"/>
  <c r="I181" i="63"/>
  <c r="Q181" i="63" s="1"/>
  <c r="I173" i="63"/>
  <c r="Q173" i="63" s="1"/>
  <c r="I204" i="63"/>
  <c r="I195" i="63"/>
  <c r="I182" i="63"/>
  <c r="I201" i="63"/>
  <c r="I192" i="63"/>
  <c r="I183" i="63"/>
  <c r="I174" i="63"/>
  <c r="I191" i="63"/>
  <c r="Q191" i="63" s="1"/>
  <c r="I205" i="63"/>
  <c r="I172" i="63"/>
  <c r="E182" i="63"/>
  <c r="E205" i="63"/>
  <c r="E201" i="63"/>
  <c r="E192" i="63"/>
  <c r="E183" i="63"/>
  <c r="M183" i="63" s="1"/>
  <c r="E193" i="63"/>
  <c r="M193" i="63" s="1"/>
  <c r="E204" i="63"/>
  <c r="E195" i="63"/>
  <c r="E172" i="63"/>
  <c r="E174" i="63"/>
  <c r="E203" i="63"/>
  <c r="E185" i="63"/>
  <c r="E173" i="63"/>
  <c r="M173" i="63" s="1"/>
  <c r="E64" i="63"/>
  <c r="E202" i="63"/>
  <c r="E184" i="63"/>
  <c r="E191" i="63"/>
  <c r="E194" i="63"/>
  <c r="E181" i="63"/>
  <c r="H66" i="63"/>
  <c r="G174" i="63"/>
  <c r="O174" i="63" s="1"/>
  <c r="G201" i="63"/>
  <c r="O201" i="63" s="1"/>
  <c r="G173" i="63"/>
  <c r="G202" i="63"/>
  <c r="G193" i="63"/>
  <c r="G184" i="63"/>
  <c r="G185" i="63"/>
  <c r="G204" i="63"/>
  <c r="G195" i="63"/>
  <c r="O195" i="63" s="1"/>
  <c r="G192" i="63"/>
  <c r="O192" i="63" s="1"/>
  <c r="G183" i="63"/>
  <c r="G203" i="63"/>
  <c r="G194" i="63"/>
  <c r="G181" i="63"/>
  <c r="H67" i="63"/>
  <c r="G172" i="63"/>
  <c r="G191" i="63"/>
  <c r="O191" i="63" s="1"/>
  <c r="G182" i="63"/>
  <c r="O182" i="63" s="1"/>
  <c r="G205" i="63"/>
  <c r="F202" i="64"/>
  <c r="F193" i="64"/>
  <c r="F189" i="64"/>
  <c r="F180" i="64"/>
  <c r="F171" i="64"/>
  <c r="F203" i="64"/>
  <c r="F199" i="64"/>
  <c r="F190" i="64"/>
  <c r="F181" i="64"/>
  <c r="F172" i="64"/>
  <c r="F200" i="64"/>
  <c r="F191" i="64"/>
  <c r="F182" i="64"/>
  <c r="F169" i="64"/>
  <c r="G64" i="64"/>
  <c r="F183" i="64"/>
  <c r="G65" i="64"/>
  <c r="F170" i="64"/>
  <c r="F173" i="64"/>
  <c r="F201" i="64"/>
  <c r="F192" i="64"/>
  <c r="F179" i="64"/>
  <c r="I199" i="64"/>
  <c r="I200" i="64"/>
  <c r="I191" i="64"/>
  <c r="I182" i="64"/>
  <c r="I173" i="64"/>
  <c r="I169" i="64"/>
  <c r="I203" i="64"/>
  <c r="I190" i="64"/>
  <c r="I181" i="64"/>
  <c r="I201" i="64"/>
  <c r="I192" i="64"/>
  <c r="I183" i="64"/>
  <c r="I179" i="64"/>
  <c r="I170" i="64"/>
  <c r="I202" i="64"/>
  <c r="I193" i="64"/>
  <c r="I189" i="64"/>
  <c r="I180" i="64"/>
  <c r="I171" i="64"/>
  <c r="I172" i="64"/>
  <c r="F63" i="66"/>
  <c r="F62" i="66"/>
  <c r="E202" i="64"/>
  <c r="E193" i="64"/>
  <c r="E189" i="64"/>
  <c r="E180" i="64"/>
  <c r="E171" i="64"/>
  <c r="E192" i="64"/>
  <c r="E183" i="64"/>
  <c r="E179" i="64"/>
  <c r="E170" i="64"/>
  <c r="E203" i="64"/>
  <c r="E199" i="64"/>
  <c r="E190" i="64"/>
  <c r="E181" i="64"/>
  <c r="E172" i="64"/>
  <c r="E201" i="64"/>
  <c r="E200" i="64"/>
  <c r="E191" i="64"/>
  <c r="E182" i="64"/>
  <c r="E173" i="64"/>
  <c r="E169" i="64"/>
  <c r="H202" i="63"/>
  <c r="H193" i="63"/>
  <c r="H184" i="63"/>
  <c r="H173" i="63"/>
  <c r="P173" i="63" s="1"/>
  <c r="H174" i="63"/>
  <c r="H205" i="63"/>
  <c r="P205" i="63" s="1"/>
  <c r="H203" i="63"/>
  <c r="P203" i="63" s="1"/>
  <c r="H194" i="63"/>
  <c r="H185" i="63"/>
  <c r="H181" i="63"/>
  <c r="H172" i="63"/>
  <c r="I66" i="63"/>
  <c r="H201" i="63"/>
  <c r="H192" i="63"/>
  <c r="P192" i="63" s="1"/>
  <c r="H183" i="63"/>
  <c r="H204" i="63"/>
  <c r="H195" i="63"/>
  <c r="H191" i="63"/>
  <c r="H182" i="63"/>
  <c r="I67" i="63"/>
  <c r="I62" i="66"/>
  <c r="I63" i="66"/>
  <c r="G63" i="66"/>
  <c r="G62" i="66"/>
  <c r="F182" i="63"/>
  <c r="F205" i="63"/>
  <c r="F201" i="63"/>
  <c r="F192" i="63"/>
  <c r="N192" i="63" s="1"/>
  <c r="F183" i="63"/>
  <c r="F204" i="63"/>
  <c r="N204" i="63" s="1"/>
  <c r="F191" i="63"/>
  <c r="N191" i="63" s="1"/>
  <c r="G67" i="63"/>
  <c r="F172" i="63"/>
  <c r="F195" i="63"/>
  <c r="F173" i="63"/>
  <c r="G66" i="63"/>
  <c r="F202" i="63"/>
  <c r="F193" i="63"/>
  <c r="N193" i="63" s="1"/>
  <c r="F184" i="63"/>
  <c r="N184" i="63" s="1"/>
  <c r="F174" i="63"/>
  <c r="F203" i="63"/>
  <c r="F194" i="63"/>
  <c r="F185" i="63"/>
  <c r="F181" i="63"/>
  <c r="N181" i="63" s="1"/>
  <c r="I65" i="65"/>
  <c r="I64" i="65"/>
  <c r="G65" i="65"/>
  <c r="G64" i="65"/>
  <c r="H203" i="64"/>
  <c r="H199" i="64"/>
  <c r="H190" i="64"/>
  <c r="H181" i="64"/>
  <c r="H172" i="64"/>
  <c r="I64" i="64"/>
  <c r="H200" i="64"/>
  <c r="H191" i="64"/>
  <c r="H182" i="64"/>
  <c r="H173" i="64"/>
  <c r="H169" i="64"/>
  <c r="H183" i="64"/>
  <c r="H179" i="64"/>
  <c r="H170" i="64"/>
  <c r="H202" i="64"/>
  <c r="H171" i="64"/>
  <c r="H192" i="64"/>
  <c r="H193" i="64"/>
  <c r="H201" i="64"/>
  <c r="I65" i="64"/>
  <c r="H189" i="64"/>
  <c r="H180" i="64"/>
  <c r="G203" i="64"/>
  <c r="G199" i="64"/>
  <c r="G190" i="64"/>
  <c r="G181" i="64"/>
  <c r="G172" i="64"/>
  <c r="H65" i="64"/>
  <c r="H64" i="64"/>
  <c r="G193" i="64"/>
  <c r="G200" i="64"/>
  <c r="G191" i="64"/>
  <c r="G182" i="64"/>
  <c r="G173" i="64"/>
  <c r="G169" i="64"/>
  <c r="G202" i="64"/>
  <c r="G189" i="64"/>
  <c r="G180" i="64"/>
  <c r="G171" i="64"/>
  <c r="G201" i="64"/>
  <c r="G192" i="64"/>
  <c r="G183" i="64"/>
  <c r="G179" i="64"/>
  <c r="G170" i="64"/>
  <c r="H64" i="65"/>
  <c r="H65" i="65"/>
  <c r="H62" i="66"/>
  <c r="H63" i="66"/>
  <c r="D78" i="65"/>
  <c r="D56" i="65"/>
  <c r="I185" i="66"/>
  <c r="I176" i="66"/>
  <c r="I167" i="66"/>
  <c r="I158" i="66"/>
  <c r="I165" i="66"/>
  <c r="I156" i="66"/>
  <c r="I183" i="66"/>
  <c r="I174" i="66"/>
  <c r="I66" i="66"/>
  <c r="I187" i="65"/>
  <c r="Q187" i="65" s="1"/>
  <c r="I178" i="65"/>
  <c r="I169" i="65"/>
  <c r="Q169" i="65" s="1"/>
  <c r="I68" i="65"/>
  <c r="D186" i="66"/>
  <c r="D188" i="65"/>
  <c r="L188" i="65" s="1"/>
  <c r="D179" i="65"/>
  <c r="L179" i="65" s="1"/>
  <c r="D159" i="66"/>
  <c r="D170" i="65"/>
  <c r="L170" i="65" s="1"/>
  <c r="D161" i="65"/>
  <c r="L161" i="65" s="1"/>
  <c r="D177" i="66"/>
  <c r="D178" i="66" s="1"/>
  <c r="D24" i="66" s="1"/>
  <c r="D168" i="66"/>
  <c r="D46" i="66"/>
  <c r="H183" i="66"/>
  <c r="H174" i="66"/>
  <c r="H165" i="66"/>
  <c r="H156" i="66"/>
  <c r="H185" i="66"/>
  <c r="H176" i="66"/>
  <c r="H167" i="66"/>
  <c r="H158" i="66"/>
  <c r="H66" i="66"/>
  <c r="F183" i="66"/>
  <c r="F174" i="66"/>
  <c r="F165" i="66"/>
  <c r="F156" i="66"/>
  <c r="F185" i="66"/>
  <c r="F176" i="66"/>
  <c r="F167" i="66"/>
  <c r="F158" i="66"/>
  <c r="F66" i="66"/>
  <c r="E183" i="66"/>
  <c r="E174" i="66"/>
  <c r="E165" i="66"/>
  <c r="E156" i="66"/>
  <c r="E185" i="66"/>
  <c r="E176" i="66"/>
  <c r="E167" i="66"/>
  <c r="E158" i="66"/>
  <c r="E66" i="66"/>
  <c r="D97" i="66"/>
  <c r="D79" i="66"/>
  <c r="D88" i="66"/>
  <c r="H169" i="65"/>
  <c r="P169" i="65" s="1"/>
  <c r="H187" i="65"/>
  <c r="P187" i="65" s="1"/>
  <c r="H178" i="65"/>
  <c r="H68" i="65"/>
  <c r="D184" i="66"/>
  <c r="D149" i="65"/>
  <c r="L149" i="65" s="1"/>
  <c r="D159" i="65"/>
  <c r="L159" i="65" s="1"/>
  <c r="D186" i="65"/>
  <c r="L186" i="65" s="1"/>
  <c r="L189" i="65" s="1"/>
  <c r="L27" i="65" s="1"/>
  <c r="D177" i="65"/>
  <c r="L177" i="65" s="1"/>
  <c r="D168" i="65"/>
  <c r="L168" i="65" s="1"/>
  <c r="D175" i="66"/>
  <c r="D166" i="66"/>
  <c r="D157" i="66"/>
  <c r="D160" i="66" s="1"/>
  <c r="D22" i="66" s="1"/>
  <c r="E49" i="62"/>
  <c r="D49" i="62"/>
  <c r="D44" i="66"/>
  <c r="G169" i="65"/>
  <c r="O169" i="65" s="1"/>
  <c r="G178" i="65"/>
  <c r="O178" i="65" s="1"/>
  <c r="G187" i="65"/>
  <c r="O187" i="65" s="1"/>
  <c r="G68" i="65"/>
  <c r="E178" i="65"/>
  <c r="M178" i="65" s="1"/>
  <c r="E169" i="65"/>
  <c r="M169" i="65" s="1"/>
  <c r="E187" i="65"/>
  <c r="M187" i="65" s="1"/>
  <c r="E68" i="65"/>
  <c r="D54" i="66"/>
  <c r="L54" i="66" s="1"/>
  <c r="G183" i="66"/>
  <c r="G174" i="66"/>
  <c r="G165" i="66"/>
  <c r="G156" i="66"/>
  <c r="G185" i="66"/>
  <c r="G176" i="66"/>
  <c r="G167" i="66"/>
  <c r="G158" i="66"/>
  <c r="G66" i="66"/>
  <c r="D85" i="66"/>
  <c r="D76" i="66"/>
  <c r="D94" i="66"/>
  <c r="F178" i="65"/>
  <c r="N178" i="65" s="1"/>
  <c r="F169" i="65"/>
  <c r="N169" i="65" s="1"/>
  <c r="F187" i="65"/>
  <c r="N187" i="65" s="1"/>
  <c r="F68" i="65"/>
  <c r="D78" i="66"/>
  <c r="D87" i="66"/>
  <c r="D96" i="66"/>
  <c r="D52" i="66"/>
  <c r="D53" i="66"/>
  <c r="L53" i="66" s="1"/>
  <c r="D95" i="66"/>
  <c r="D86" i="66"/>
  <c r="D77" i="66"/>
  <c r="D79" i="65"/>
  <c r="D88" i="65"/>
  <c r="D97" i="65"/>
  <c r="L206" i="63"/>
  <c r="L27" i="63" s="1"/>
  <c r="H61" i="66"/>
  <c r="H68" i="66"/>
  <c r="H67" i="66"/>
  <c r="H60" i="66"/>
  <c r="H65" i="66"/>
  <c r="I69" i="66"/>
  <c r="H64" i="66"/>
  <c r="I64" i="66"/>
  <c r="I61" i="66"/>
  <c r="I68" i="66"/>
  <c r="I67" i="66"/>
  <c r="I60" i="66"/>
  <c r="I65" i="66"/>
  <c r="G71" i="65"/>
  <c r="F69" i="65"/>
  <c r="F67" i="65"/>
  <c r="F62" i="65"/>
  <c r="F70" i="65"/>
  <c r="F63" i="65"/>
  <c r="F66" i="65"/>
  <c r="D109" i="63"/>
  <c r="L109" i="63" s="1"/>
  <c r="D89" i="63"/>
  <c r="D99" i="63"/>
  <c r="L99" i="63" s="1"/>
  <c r="F71" i="65"/>
  <c r="E69" i="65"/>
  <c r="E80" i="65" s="1"/>
  <c r="F65" i="65"/>
  <c r="F64" i="65"/>
  <c r="E70" i="65"/>
  <c r="E63" i="65"/>
  <c r="E67" i="65"/>
  <c r="E62" i="65"/>
  <c r="E66" i="65"/>
  <c r="G66" i="65"/>
  <c r="H71" i="65"/>
  <c r="G69" i="65"/>
  <c r="G67" i="65"/>
  <c r="G62" i="65"/>
  <c r="G70" i="65"/>
  <c r="G63" i="65"/>
  <c r="I63" i="65"/>
  <c r="I66" i="65"/>
  <c r="I69" i="65"/>
  <c r="I62" i="65"/>
  <c r="I70" i="65"/>
  <c r="I67" i="65"/>
  <c r="D87" i="63"/>
  <c r="L87" i="63" s="1"/>
  <c r="D107" i="63"/>
  <c r="D100" i="63"/>
  <c r="D110" i="63"/>
  <c r="L110" i="63" s="1"/>
  <c r="D90" i="63"/>
  <c r="L90" i="63" s="1"/>
  <c r="H63" i="65"/>
  <c r="H66" i="65"/>
  <c r="H62" i="65"/>
  <c r="I71" i="65"/>
  <c r="H69" i="65"/>
  <c r="H70" i="65"/>
  <c r="H67" i="65"/>
  <c r="D98" i="63"/>
  <c r="L98" i="63" s="1"/>
  <c r="D88" i="63"/>
  <c r="L88" i="63" s="1"/>
  <c r="D108" i="63"/>
  <c r="D96" i="63"/>
  <c r="D106" i="63"/>
  <c r="D86" i="63"/>
  <c r="L86" i="63" s="1"/>
  <c r="E60" i="66"/>
  <c r="E65" i="66"/>
  <c r="F69" i="66"/>
  <c r="E64" i="66"/>
  <c r="E67" i="66"/>
  <c r="E61" i="66"/>
  <c r="E68" i="66"/>
  <c r="F60" i="66"/>
  <c r="F67" i="66"/>
  <c r="F65" i="66"/>
  <c r="F61" i="66"/>
  <c r="G69" i="66"/>
  <c r="F64" i="66"/>
  <c r="F68" i="66"/>
  <c r="G68" i="66"/>
  <c r="G67" i="66"/>
  <c r="G60" i="66"/>
  <c r="G65" i="66"/>
  <c r="H69" i="66"/>
  <c r="G64" i="66"/>
  <c r="G61" i="66"/>
  <c r="D80" i="63"/>
  <c r="P83" i="50"/>
  <c r="Q83" i="50"/>
  <c r="N83" i="50"/>
  <c r="O83" i="50"/>
  <c r="M83" i="50"/>
  <c r="N75" i="50"/>
  <c r="O75" i="50"/>
  <c r="P75" i="50"/>
  <c r="Q75" i="50"/>
  <c r="M75" i="50"/>
  <c r="D22" i="61"/>
  <c r="D22" i="62"/>
  <c r="D210" i="64"/>
  <c r="D44" i="64"/>
  <c r="D46" i="63" s="1"/>
  <c r="D160" i="63"/>
  <c r="D212" i="63"/>
  <c r="D34" i="64"/>
  <c r="D36" i="63" s="1"/>
  <c r="L36" i="63" s="1"/>
  <c r="D221" i="64"/>
  <c r="L221" i="64" s="1"/>
  <c r="D214" i="64"/>
  <c r="L214" i="64" s="1"/>
  <c r="D223" i="63"/>
  <c r="L223" i="63" s="1"/>
  <c r="D225" i="64"/>
  <c r="L225" i="64" s="1"/>
  <c r="D218" i="64"/>
  <c r="L218" i="64" s="1"/>
  <c r="D216" i="63"/>
  <c r="L216" i="63" s="1"/>
  <c r="D221" i="63"/>
  <c r="L221" i="63" s="1"/>
  <c r="D224" i="64"/>
  <c r="L224" i="64" s="1"/>
  <c r="D211" i="64"/>
  <c r="L211" i="64" s="1"/>
  <c r="D228" i="63"/>
  <c r="L228" i="63" s="1"/>
  <c r="D219" i="63"/>
  <c r="L219" i="63" s="1"/>
  <c r="E49" i="61"/>
  <c r="D225" i="63"/>
  <c r="L225" i="63" s="1"/>
  <c r="D218" i="63"/>
  <c r="L218" i="63" s="1"/>
  <c r="D224" i="63"/>
  <c r="L224" i="63" s="1"/>
  <c r="D222" i="64"/>
  <c r="L222" i="64" s="1"/>
  <c r="D213" i="63"/>
  <c r="L213" i="63" s="1"/>
  <c r="D223" i="64"/>
  <c r="L223" i="64" s="1"/>
  <c r="D227" i="63"/>
  <c r="L227" i="63" s="1"/>
  <c r="D217" i="63"/>
  <c r="L217" i="63" s="1"/>
  <c r="D220" i="63"/>
  <c r="L220" i="63" s="1"/>
  <c r="D217" i="64"/>
  <c r="L217" i="64" s="1"/>
  <c r="D226" i="64"/>
  <c r="L226" i="64" s="1"/>
  <c r="D19" i="62"/>
  <c r="D216" i="64"/>
  <c r="L216" i="64" s="1"/>
  <c r="D212" i="64"/>
  <c r="L212" i="64" s="1"/>
  <c r="D215" i="63"/>
  <c r="L215" i="63" s="1"/>
  <c r="D213" i="64"/>
  <c r="L213" i="64" s="1"/>
  <c r="D222" i="63"/>
  <c r="L222" i="63" s="1"/>
  <c r="D219" i="64"/>
  <c r="L219" i="64" s="1"/>
  <c r="D220" i="64"/>
  <c r="L220" i="64" s="1"/>
  <c r="D214" i="63"/>
  <c r="L214" i="63" s="1"/>
  <c r="D226" i="63"/>
  <c r="L226" i="63" s="1"/>
  <c r="D215" i="64"/>
  <c r="L215" i="64" s="1"/>
  <c r="D174" i="64"/>
  <c r="D22" i="64" s="1"/>
  <c r="G158" i="65"/>
  <c r="G176" i="65"/>
  <c r="G167" i="65"/>
  <c r="G185" i="65"/>
  <c r="O185" i="65" s="1"/>
  <c r="G114" i="65"/>
  <c r="G117" i="65" s="1"/>
  <c r="G122" i="65"/>
  <c r="G130" i="65"/>
  <c r="G106" i="65"/>
  <c r="G109" i="65" s="1"/>
  <c r="G131" i="65"/>
  <c r="O131" i="65" s="1"/>
  <c r="G123" i="65"/>
  <c r="O123" i="65" s="1"/>
  <c r="G107" i="65"/>
  <c r="G115" i="65"/>
  <c r="G160" i="65"/>
  <c r="O160" i="65" s="1"/>
  <c r="G108" i="65"/>
  <c r="G132" i="65"/>
  <c r="O132" i="65" s="1"/>
  <c r="G116" i="65"/>
  <c r="G124" i="65"/>
  <c r="O124" i="65" s="1"/>
  <c r="I120" i="66"/>
  <c r="I123" i="66" s="1"/>
  <c r="I128" i="66"/>
  <c r="I131" i="66" s="1"/>
  <c r="I104" i="66"/>
  <c r="I107" i="66" s="1"/>
  <c r="I112" i="66"/>
  <c r="I115" i="66" s="1"/>
  <c r="I122" i="66"/>
  <c r="I129" i="66"/>
  <c r="I114" i="66"/>
  <c r="I113" i="66"/>
  <c r="I106" i="66"/>
  <c r="I105" i="66"/>
  <c r="I130" i="66"/>
  <c r="I121" i="66"/>
  <c r="G18" i="62"/>
  <c r="G17" i="62"/>
  <c r="G16" i="62"/>
  <c r="G14" i="62"/>
  <c r="G15" i="62"/>
  <c r="D144" i="63"/>
  <c r="D21" i="63" s="1"/>
  <c r="L141" i="63"/>
  <c r="L144" i="63" s="1"/>
  <c r="E158" i="65"/>
  <c r="E176" i="65"/>
  <c r="E167" i="65"/>
  <c r="E122" i="65"/>
  <c r="E185" i="65"/>
  <c r="M185" i="65" s="1"/>
  <c r="E130" i="65"/>
  <c r="E106" i="65"/>
  <c r="E109" i="65" s="1"/>
  <c r="E108" i="65"/>
  <c r="E124" i="65"/>
  <c r="M124" i="65" s="1"/>
  <c r="E123" i="65"/>
  <c r="M123" i="65" s="1"/>
  <c r="E131" i="65"/>
  <c r="M131" i="65" s="1"/>
  <c r="E116" i="65"/>
  <c r="E114" i="65"/>
  <c r="E117" i="65" s="1"/>
  <c r="E107" i="65"/>
  <c r="E132" i="65"/>
  <c r="M132" i="65" s="1"/>
  <c r="E115" i="65"/>
  <c r="E160" i="65"/>
  <c r="M160" i="65" s="1"/>
  <c r="H29" i="61"/>
  <c r="D194" i="64"/>
  <c r="D24" i="64" s="1"/>
  <c r="F22" i="61"/>
  <c r="H42" i="62"/>
  <c r="H39" i="62"/>
  <c r="H40" i="62"/>
  <c r="I49" i="62" s="1"/>
  <c r="H41" i="62"/>
  <c r="H45" i="66" s="1"/>
  <c r="H47" i="65" s="1"/>
  <c r="P47" i="65" s="1"/>
  <c r="F185" i="65"/>
  <c r="N185" i="65" s="1"/>
  <c r="F176" i="65"/>
  <c r="F106" i="65"/>
  <c r="F109" i="65" s="1"/>
  <c r="F167" i="65"/>
  <c r="F158" i="65"/>
  <c r="F130" i="65"/>
  <c r="F122" i="65"/>
  <c r="F114" i="65"/>
  <c r="F117" i="65" s="1"/>
  <c r="F160" i="65"/>
  <c r="N160" i="65" s="1"/>
  <c r="F123" i="65"/>
  <c r="N123" i="65" s="1"/>
  <c r="F107" i="65"/>
  <c r="F108" i="65"/>
  <c r="F131" i="65"/>
  <c r="N131" i="65" s="1"/>
  <c r="F115" i="65"/>
  <c r="F132" i="65"/>
  <c r="N132" i="65" s="1"/>
  <c r="F124" i="65"/>
  <c r="N124" i="65" s="1"/>
  <c r="F116" i="65"/>
  <c r="G42" i="62"/>
  <c r="G39" i="62"/>
  <c r="G41" i="62"/>
  <c r="G45" i="66" s="1"/>
  <c r="G47" i="65" s="1"/>
  <c r="O47" i="65" s="1"/>
  <c r="G40" i="62"/>
  <c r="D54" i="65"/>
  <c r="D89" i="65"/>
  <c r="L89" i="65" s="1"/>
  <c r="L80" i="65"/>
  <c r="D98" i="65"/>
  <c r="L98" i="65" s="1"/>
  <c r="L176" i="65"/>
  <c r="L191" i="63"/>
  <c r="L196" i="63" s="1"/>
  <c r="L26" i="63" s="1"/>
  <c r="D196" i="63"/>
  <c r="D26" i="63" s="1"/>
  <c r="D184" i="64"/>
  <c r="D23" i="64" s="1"/>
  <c r="D105" i="64"/>
  <c r="D95" i="64"/>
  <c r="D85" i="64"/>
  <c r="G69" i="63"/>
  <c r="G65" i="63"/>
  <c r="O181" i="63"/>
  <c r="G171" i="63"/>
  <c r="O171" i="63" s="1"/>
  <c r="G68" i="63"/>
  <c r="G117" i="63"/>
  <c r="G120" i="63" s="1"/>
  <c r="G78" i="63"/>
  <c r="G73" i="63"/>
  <c r="G72" i="63"/>
  <c r="G133" i="63"/>
  <c r="G64" i="63"/>
  <c r="G141" i="63"/>
  <c r="G125" i="63"/>
  <c r="G128" i="63" s="1"/>
  <c r="H71" i="63"/>
  <c r="O183" i="63"/>
  <c r="G135" i="63"/>
  <c r="O135" i="63" s="1"/>
  <c r="O184" i="63"/>
  <c r="G127" i="63"/>
  <c r="G119" i="63"/>
  <c r="G143" i="63"/>
  <c r="O143" i="63" s="1"/>
  <c r="O194" i="63"/>
  <c r="G126" i="63"/>
  <c r="G142" i="63"/>
  <c r="O142" i="63" s="1"/>
  <c r="O202" i="63"/>
  <c r="G118" i="63"/>
  <c r="O204" i="63"/>
  <c r="H79" i="63"/>
  <c r="G74" i="63"/>
  <c r="G77" i="63"/>
  <c r="F72" i="61" s="1"/>
  <c r="G134" i="63"/>
  <c r="O134" i="63" s="1"/>
  <c r="O173" i="63"/>
  <c r="H75" i="63"/>
  <c r="G71" i="61" s="1"/>
  <c r="O203" i="63"/>
  <c r="O172" i="63"/>
  <c r="G175" i="63"/>
  <c r="O175" i="63" s="1"/>
  <c r="O185" i="63"/>
  <c r="O205" i="63"/>
  <c r="O193" i="63"/>
  <c r="H76" i="63"/>
  <c r="H70" i="63"/>
  <c r="L167" i="65"/>
  <c r="L130" i="65"/>
  <c r="L133" i="65" s="1"/>
  <c r="D133" i="65"/>
  <c r="D21" i="65" s="1"/>
  <c r="N201" i="63"/>
  <c r="F171" i="63"/>
  <c r="N171" i="63" s="1"/>
  <c r="F141" i="63"/>
  <c r="F73" i="63"/>
  <c r="F78" i="63"/>
  <c r="F68" i="63"/>
  <c r="F117" i="63"/>
  <c r="F120" i="63" s="1"/>
  <c r="F65" i="63"/>
  <c r="F72" i="63"/>
  <c r="F64" i="63"/>
  <c r="F133" i="63"/>
  <c r="F125" i="63"/>
  <c r="F128" i="63" s="1"/>
  <c r="F69" i="63"/>
  <c r="G75" i="63"/>
  <c r="F71" i="61" s="1"/>
  <c r="N194" i="63"/>
  <c r="F135" i="63"/>
  <c r="N135" i="63" s="1"/>
  <c r="N172" i="63"/>
  <c r="G76" i="63"/>
  <c r="N205" i="63"/>
  <c r="N173" i="63"/>
  <c r="N182" i="63"/>
  <c r="G70" i="63"/>
  <c r="N183" i="63"/>
  <c r="F127" i="63"/>
  <c r="F175" i="63"/>
  <c r="N175" i="63" s="1"/>
  <c r="F126" i="63"/>
  <c r="F119" i="63"/>
  <c r="G79" i="63"/>
  <c r="F118" i="63"/>
  <c r="F77" i="63"/>
  <c r="E72" i="61" s="1"/>
  <c r="N195" i="63"/>
  <c r="N185" i="63"/>
  <c r="N202" i="63"/>
  <c r="F74" i="63"/>
  <c r="F143" i="63"/>
  <c r="N143" i="63" s="1"/>
  <c r="N203" i="63"/>
  <c r="F134" i="63"/>
  <c r="N134" i="63" s="1"/>
  <c r="F142" i="63"/>
  <c r="N142" i="63" s="1"/>
  <c r="G71" i="63"/>
  <c r="N174" i="63"/>
  <c r="L89" i="63"/>
  <c r="E18" i="62"/>
  <c r="E16" i="62"/>
  <c r="E17" i="62"/>
  <c r="E14" i="62"/>
  <c r="E15" i="62"/>
  <c r="H131" i="64"/>
  <c r="H134" i="64" s="1"/>
  <c r="H115" i="64"/>
  <c r="H118" i="64" s="1"/>
  <c r="H63" i="64"/>
  <c r="H76" i="64"/>
  <c r="H62" i="64"/>
  <c r="H139" i="64"/>
  <c r="H142" i="64" s="1"/>
  <c r="H66" i="64"/>
  <c r="H70" i="64"/>
  <c r="H123" i="64"/>
  <c r="H126" i="64" s="1"/>
  <c r="H71" i="64"/>
  <c r="H116" i="64"/>
  <c r="H67" i="64"/>
  <c r="H132" i="64"/>
  <c r="H125" i="64"/>
  <c r="H124" i="64"/>
  <c r="I73" i="64"/>
  <c r="I74" i="64"/>
  <c r="H133" i="64"/>
  <c r="H140" i="64"/>
  <c r="H141" i="64"/>
  <c r="I77" i="64"/>
  <c r="H75" i="64"/>
  <c r="H72" i="64"/>
  <c r="H117" i="64"/>
  <c r="I68" i="64"/>
  <c r="I69" i="64"/>
  <c r="G22" i="61"/>
  <c r="I185" i="65"/>
  <c r="Q185" i="65" s="1"/>
  <c r="I167" i="65"/>
  <c r="I158" i="65"/>
  <c r="I130" i="65"/>
  <c r="I114" i="65"/>
  <c r="I117" i="65" s="1"/>
  <c r="I176" i="65"/>
  <c r="I122" i="65"/>
  <c r="I132" i="65"/>
  <c r="Q132" i="65" s="1"/>
  <c r="I131" i="65"/>
  <c r="Q131" i="65" s="1"/>
  <c r="I160" i="65"/>
  <c r="Q160" i="65" s="1"/>
  <c r="I123" i="65"/>
  <c r="Q123" i="65" s="1"/>
  <c r="I106" i="65"/>
  <c r="I109" i="65" s="1"/>
  <c r="I124" i="65"/>
  <c r="Q124" i="65" s="1"/>
  <c r="I115" i="65"/>
  <c r="Q178" i="65"/>
  <c r="I107" i="65"/>
  <c r="I108" i="65"/>
  <c r="I116" i="65"/>
  <c r="I40" i="62"/>
  <c r="I39" i="62"/>
  <c r="I42" i="62"/>
  <c r="I41" i="62"/>
  <c r="I45" i="66" s="1"/>
  <c r="I47" i="65" s="1"/>
  <c r="Q47" i="65" s="1"/>
  <c r="D37" i="64"/>
  <c r="D47" i="64"/>
  <c r="L161" i="64"/>
  <c r="E28" i="62"/>
  <c r="L162" i="63"/>
  <c r="D28" i="62"/>
  <c r="D27" i="62"/>
  <c r="D87" i="64"/>
  <c r="D107" i="64"/>
  <c r="D97" i="64"/>
  <c r="D104" i="64"/>
  <c r="D94" i="64"/>
  <c r="D84" i="64"/>
  <c r="D78" i="64"/>
  <c r="D55" i="64"/>
  <c r="L55" i="64" s="1"/>
  <c r="G29" i="61"/>
  <c r="E29" i="61"/>
  <c r="L158" i="65"/>
  <c r="L162" i="65" s="1"/>
  <c r="L24" i="65" s="1"/>
  <c r="E22" i="61"/>
  <c r="D206" i="63"/>
  <c r="D27" i="63" s="1"/>
  <c r="D136" i="63"/>
  <c r="D20" i="63" s="1"/>
  <c r="L133" i="63"/>
  <c r="L136" i="63" s="1"/>
  <c r="L100" i="63"/>
  <c r="Q201" i="63"/>
  <c r="I171" i="63"/>
  <c r="Q171" i="63" s="1"/>
  <c r="I68" i="63"/>
  <c r="I141" i="63"/>
  <c r="I64" i="63"/>
  <c r="I133" i="63"/>
  <c r="I72" i="63"/>
  <c r="I125" i="63"/>
  <c r="I128" i="63" s="1"/>
  <c r="I78" i="63"/>
  <c r="I73" i="63"/>
  <c r="Q184" i="63"/>
  <c r="Q174" i="63"/>
  <c r="I77" i="63"/>
  <c r="H72" i="61" s="1"/>
  <c r="I65" i="63"/>
  <c r="Q204" i="63"/>
  <c r="I126" i="63"/>
  <c r="I74" i="63"/>
  <c r="I143" i="63"/>
  <c r="Q143" i="63" s="1"/>
  <c r="Q193" i="63"/>
  <c r="I135" i="63"/>
  <c r="Q135" i="63" s="1"/>
  <c r="I117" i="63"/>
  <c r="I120" i="63" s="1"/>
  <c r="Q205" i="63"/>
  <c r="Q203" i="63"/>
  <c r="Q172" i="63"/>
  <c r="Q182" i="63"/>
  <c r="I175" i="63"/>
  <c r="Q175" i="63" s="1"/>
  <c r="Q202" i="63"/>
  <c r="Q194" i="63"/>
  <c r="I127" i="63"/>
  <c r="I119" i="63"/>
  <c r="I118" i="63"/>
  <c r="Q183" i="63"/>
  <c r="Q192" i="63"/>
  <c r="I69" i="63"/>
  <c r="I134" i="63"/>
  <c r="Q134" i="63" s="1"/>
  <c r="Q195" i="63"/>
  <c r="Q185" i="63"/>
  <c r="I142" i="63"/>
  <c r="Q142" i="63" s="1"/>
  <c r="D147" i="66"/>
  <c r="L147" i="66" s="1"/>
  <c r="D35" i="66"/>
  <c r="D48" i="62"/>
  <c r="E76" i="64"/>
  <c r="E71" i="64"/>
  <c r="E62" i="64"/>
  <c r="E139" i="64"/>
  <c r="E142" i="64" s="1"/>
  <c r="E123" i="64"/>
  <c r="E126" i="64" s="1"/>
  <c r="E131" i="64"/>
  <c r="E134" i="64" s="1"/>
  <c r="E63" i="64"/>
  <c r="E115" i="64"/>
  <c r="E118" i="64" s="1"/>
  <c r="E70" i="64"/>
  <c r="F64" i="64"/>
  <c r="E132" i="64"/>
  <c r="E66" i="64"/>
  <c r="E133" i="64"/>
  <c r="F69" i="64"/>
  <c r="E141" i="64"/>
  <c r="E75" i="64"/>
  <c r="E116" i="64"/>
  <c r="E72" i="64"/>
  <c r="E124" i="64"/>
  <c r="E125" i="64"/>
  <c r="F77" i="64"/>
  <c r="E140" i="64"/>
  <c r="F68" i="64"/>
  <c r="F73" i="64"/>
  <c r="E67" i="64"/>
  <c r="E117" i="64"/>
  <c r="F74" i="64"/>
  <c r="F65" i="64"/>
  <c r="D56" i="64"/>
  <c r="L56" i="64" s="1"/>
  <c r="G104" i="66"/>
  <c r="G107" i="66" s="1"/>
  <c r="G112" i="66"/>
  <c r="G115" i="66" s="1"/>
  <c r="G128" i="66"/>
  <c r="G131" i="66" s="1"/>
  <c r="G114" i="66"/>
  <c r="G129" i="66"/>
  <c r="G130" i="66"/>
  <c r="G121" i="66"/>
  <c r="G105" i="66"/>
  <c r="G122" i="66"/>
  <c r="G113" i="66"/>
  <c r="G120" i="66"/>
  <c r="G123" i="66" s="1"/>
  <c r="G106" i="66"/>
  <c r="D26" i="62"/>
  <c r="D46" i="64"/>
  <c r="L161" i="63"/>
  <c r="D36" i="64"/>
  <c r="L160" i="64"/>
  <c r="D54" i="64"/>
  <c r="L54" i="64" s="1"/>
  <c r="D106" i="64"/>
  <c r="D96" i="64"/>
  <c r="D86" i="64"/>
  <c r="E52" i="62"/>
  <c r="D51" i="62"/>
  <c r="D151" i="65"/>
  <c r="L151" i="65" s="1"/>
  <c r="D149" i="66"/>
  <c r="L149" i="66" s="1"/>
  <c r="D37" i="66"/>
  <c r="D52" i="62"/>
  <c r="P191" i="63"/>
  <c r="P201" i="63"/>
  <c r="H171" i="63"/>
  <c r="P171" i="63" s="1"/>
  <c r="H125" i="63"/>
  <c r="H128" i="63" s="1"/>
  <c r="H141" i="63"/>
  <c r="P181" i="63"/>
  <c r="H133" i="63"/>
  <c r="H73" i="63"/>
  <c r="H68" i="63"/>
  <c r="H78" i="63"/>
  <c r="H64" i="63"/>
  <c r="H65" i="63"/>
  <c r="H117" i="63"/>
  <c r="H120" i="63" s="1"/>
  <c r="I76" i="63"/>
  <c r="H72" i="63"/>
  <c r="H143" i="63"/>
  <c r="P143" i="63" s="1"/>
  <c r="P174" i="63"/>
  <c r="P183" i="63"/>
  <c r="H74" i="63"/>
  <c r="I71" i="63"/>
  <c r="P202" i="63"/>
  <c r="P185" i="63"/>
  <c r="H134" i="63"/>
  <c r="P134" i="63" s="1"/>
  <c r="H69" i="63"/>
  <c r="H142" i="63"/>
  <c r="P142" i="63" s="1"/>
  <c r="P172" i="63"/>
  <c r="P194" i="63"/>
  <c r="P195" i="63"/>
  <c r="P182" i="63"/>
  <c r="H77" i="63"/>
  <c r="G72" i="61" s="1"/>
  <c r="P184" i="63"/>
  <c r="P204" i="63"/>
  <c r="I70" i="63"/>
  <c r="H126" i="63"/>
  <c r="H118" i="63"/>
  <c r="I79" i="63"/>
  <c r="P193" i="63"/>
  <c r="I75" i="63"/>
  <c r="H71" i="61" s="1"/>
  <c r="H127" i="63"/>
  <c r="H175" i="63"/>
  <c r="P175" i="63" s="1"/>
  <c r="H119" i="63"/>
  <c r="H135" i="63"/>
  <c r="P135" i="63" s="1"/>
  <c r="H104" i="66"/>
  <c r="H107" i="66" s="1"/>
  <c r="H120" i="66"/>
  <c r="H123" i="66" s="1"/>
  <c r="H128" i="66"/>
  <c r="H131" i="66" s="1"/>
  <c r="H112" i="66"/>
  <c r="H115" i="66" s="1"/>
  <c r="H129" i="66"/>
  <c r="H105" i="66"/>
  <c r="H114" i="66"/>
  <c r="H122" i="66"/>
  <c r="H121" i="66"/>
  <c r="H106" i="66"/>
  <c r="H130" i="66"/>
  <c r="H113" i="66"/>
  <c r="F128" i="66"/>
  <c r="F131" i="66" s="1"/>
  <c r="F112" i="66"/>
  <c r="F115" i="66" s="1"/>
  <c r="F120" i="66"/>
  <c r="F123" i="66" s="1"/>
  <c r="F104" i="66"/>
  <c r="F107" i="66" s="1"/>
  <c r="F113" i="66"/>
  <c r="F105" i="66"/>
  <c r="F121" i="66"/>
  <c r="F129" i="66"/>
  <c r="F106" i="66"/>
  <c r="F122" i="66"/>
  <c r="F130" i="66"/>
  <c r="F114" i="66"/>
  <c r="F29" i="61"/>
  <c r="L79" i="65"/>
  <c r="L97" i="65"/>
  <c r="L88" i="65"/>
  <c r="D96" i="65"/>
  <c r="D72" i="65"/>
  <c r="D87" i="65"/>
  <c r="D55" i="65"/>
  <c r="D81" i="65"/>
  <c r="L81" i="65" s="1"/>
  <c r="D90" i="65"/>
  <c r="L90" i="65" s="1"/>
  <c r="D99" i="65"/>
  <c r="L99" i="65" s="1"/>
  <c r="F139" i="64"/>
  <c r="F142" i="64" s="1"/>
  <c r="F115" i="64"/>
  <c r="F118" i="64" s="1"/>
  <c r="F123" i="64"/>
  <c r="F126" i="64" s="1"/>
  <c r="F131" i="64"/>
  <c r="F134" i="64" s="1"/>
  <c r="F66" i="64"/>
  <c r="F76" i="64"/>
  <c r="F63" i="64"/>
  <c r="F70" i="64"/>
  <c r="F75" i="64"/>
  <c r="F125" i="64"/>
  <c r="F67" i="64"/>
  <c r="G77" i="64"/>
  <c r="F124" i="64"/>
  <c r="F132" i="64"/>
  <c r="G69" i="64"/>
  <c r="G74" i="64"/>
  <c r="F72" i="64"/>
  <c r="F141" i="64"/>
  <c r="G68" i="64"/>
  <c r="F62" i="64"/>
  <c r="F133" i="64"/>
  <c r="F117" i="64"/>
  <c r="F116" i="64"/>
  <c r="F140" i="64"/>
  <c r="G73" i="64"/>
  <c r="F71" i="64"/>
  <c r="D70" i="66"/>
  <c r="D56" i="63"/>
  <c r="L97" i="63"/>
  <c r="L107" i="63"/>
  <c r="D57" i="63"/>
  <c r="D88" i="64"/>
  <c r="D108" i="64"/>
  <c r="D98" i="64"/>
  <c r="D125" i="65"/>
  <c r="D20" i="65" s="1"/>
  <c r="L122" i="65"/>
  <c r="L125" i="65" s="1"/>
  <c r="F17" i="62"/>
  <c r="F18" i="62"/>
  <c r="F14" i="62"/>
  <c r="F15" i="62"/>
  <c r="F16" i="62"/>
  <c r="D169" i="66"/>
  <c r="D23" i="66" s="1"/>
  <c r="E128" i="66"/>
  <c r="E131" i="66" s="1"/>
  <c r="E104" i="66"/>
  <c r="E107" i="66" s="1"/>
  <c r="E112" i="66"/>
  <c r="E115" i="66" s="1"/>
  <c r="E120" i="66"/>
  <c r="E123" i="66" s="1"/>
  <c r="E129" i="66"/>
  <c r="E114" i="66"/>
  <c r="E121" i="66"/>
  <c r="E130" i="66"/>
  <c r="E113" i="66"/>
  <c r="E106" i="66"/>
  <c r="E122" i="66"/>
  <c r="E105" i="66"/>
  <c r="E25" i="62"/>
  <c r="L163" i="63"/>
  <c r="D25" i="62"/>
  <c r="L159" i="64"/>
  <c r="D45" i="64"/>
  <c r="D24" i="62"/>
  <c r="D35" i="64"/>
  <c r="D34" i="66"/>
  <c r="D36" i="65" s="1"/>
  <c r="L36" i="65" s="1"/>
  <c r="D195" i="65"/>
  <c r="D148" i="65"/>
  <c r="D43" i="66"/>
  <c r="D45" i="65" s="1"/>
  <c r="L45" i="65" s="1"/>
  <c r="D193" i="66"/>
  <c r="D146" i="66"/>
  <c r="D46" i="62"/>
  <c r="D201" i="65"/>
  <c r="L201" i="65" s="1"/>
  <c r="D202" i="65"/>
  <c r="L202" i="65" s="1"/>
  <c r="D196" i="65"/>
  <c r="L196" i="65" s="1"/>
  <c r="D204" i="65"/>
  <c r="L204" i="65" s="1"/>
  <c r="D200" i="65"/>
  <c r="L200" i="65" s="1"/>
  <c r="D206" i="65"/>
  <c r="L206" i="65" s="1"/>
  <c r="D203" i="66"/>
  <c r="L203" i="66" s="1"/>
  <c r="D202" i="66"/>
  <c r="L202" i="66" s="1"/>
  <c r="D207" i="65"/>
  <c r="L207" i="65" s="1"/>
  <c r="D208" i="65"/>
  <c r="L208" i="65" s="1"/>
  <c r="D197" i="66"/>
  <c r="L197" i="66" s="1"/>
  <c r="D199" i="65"/>
  <c r="L199" i="65" s="1"/>
  <c r="D203" i="65"/>
  <c r="L203" i="65" s="1"/>
  <c r="D198" i="66"/>
  <c r="L198" i="66" s="1"/>
  <c r="D208" i="66"/>
  <c r="L208" i="66" s="1"/>
  <c r="D43" i="62"/>
  <c r="D195" i="66"/>
  <c r="L195" i="66" s="1"/>
  <c r="D209" i="66"/>
  <c r="L209" i="66" s="1"/>
  <c r="D206" i="66"/>
  <c r="L206" i="66" s="1"/>
  <c r="D194" i="66"/>
  <c r="L194" i="66" s="1"/>
  <c r="D205" i="66"/>
  <c r="L205" i="66" s="1"/>
  <c r="D211" i="65"/>
  <c r="L211" i="65" s="1"/>
  <c r="D199" i="66"/>
  <c r="L199" i="66" s="1"/>
  <c r="D196" i="66"/>
  <c r="L196" i="66" s="1"/>
  <c r="D200" i="66"/>
  <c r="L200" i="66" s="1"/>
  <c r="D197" i="65"/>
  <c r="L197" i="65" s="1"/>
  <c r="D201" i="66"/>
  <c r="L201" i="66" s="1"/>
  <c r="D209" i="65"/>
  <c r="L209" i="65" s="1"/>
  <c r="D198" i="65"/>
  <c r="L198" i="65" s="1"/>
  <c r="D210" i="65"/>
  <c r="L210" i="65" s="1"/>
  <c r="D205" i="65"/>
  <c r="L205" i="65" s="1"/>
  <c r="D204" i="66"/>
  <c r="L204" i="66" s="1"/>
  <c r="D207" i="66"/>
  <c r="L207" i="66" s="1"/>
  <c r="F42" i="62"/>
  <c r="F40" i="62"/>
  <c r="F41" i="62"/>
  <c r="F45" i="66" s="1"/>
  <c r="F47" i="65" s="1"/>
  <c r="N47" i="65" s="1"/>
  <c r="F39" i="62"/>
  <c r="L171" i="63"/>
  <c r="L176" i="63" s="1"/>
  <c r="L24" i="63" s="1"/>
  <c r="D176" i="63"/>
  <c r="D24" i="63" s="1"/>
  <c r="D58" i="63"/>
  <c r="I63" i="64"/>
  <c r="I62" i="64"/>
  <c r="I71" i="64"/>
  <c r="I115" i="64"/>
  <c r="I118" i="64" s="1"/>
  <c r="I70" i="64"/>
  <c r="I131" i="64"/>
  <c r="I134" i="64" s="1"/>
  <c r="I66" i="64"/>
  <c r="I76" i="64"/>
  <c r="I139" i="64"/>
  <c r="I142" i="64" s="1"/>
  <c r="I123" i="64"/>
  <c r="I126" i="64" s="1"/>
  <c r="I133" i="64"/>
  <c r="I72" i="64"/>
  <c r="I141" i="64"/>
  <c r="I124" i="64"/>
  <c r="I117" i="64"/>
  <c r="I116" i="64"/>
  <c r="I67" i="64"/>
  <c r="I125" i="64"/>
  <c r="I75" i="64"/>
  <c r="I140" i="64"/>
  <c r="I132" i="64"/>
  <c r="D48" i="64"/>
  <c r="L164" i="63"/>
  <c r="D29" i="62"/>
  <c r="D38" i="64"/>
  <c r="L162" i="64"/>
  <c r="D30" i="62"/>
  <c r="E30" i="62"/>
  <c r="M181" i="63"/>
  <c r="E171" i="63"/>
  <c r="M171" i="63" s="1"/>
  <c r="M201" i="63"/>
  <c r="E125" i="63"/>
  <c r="E128" i="63" s="1"/>
  <c r="M191" i="63"/>
  <c r="E65" i="63"/>
  <c r="E141" i="63"/>
  <c r="E73" i="63"/>
  <c r="E68" i="63"/>
  <c r="E78" i="63"/>
  <c r="E133" i="63"/>
  <c r="E69" i="63"/>
  <c r="D67" i="61" s="1"/>
  <c r="E72" i="63"/>
  <c r="E117" i="63"/>
  <c r="E120" i="63" s="1"/>
  <c r="E126" i="63"/>
  <c r="E143" i="63"/>
  <c r="M143" i="63" s="1"/>
  <c r="M203" i="63"/>
  <c r="M194" i="63"/>
  <c r="F67" i="63"/>
  <c r="M202" i="63"/>
  <c r="F79" i="63"/>
  <c r="F66" i="63"/>
  <c r="E127" i="63"/>
  <c r="E118" i="63"/>
  <c r="M185" i="63"/>
  <c r="M204" i="63"/>
  <c r="F71" i="63"/>
  <c r="M205" i="63"/>
  <c r="F70" i="63"/>
  <c r="E134" i="63"/>
  <c r="M134" i="63" s="1"/>
  <c r="M182" i="63"/>
  <c r="F76" i="63"/>
  <c r="M195" i="63"/>
  <c r="M184" i="63"/>
  <c r="M172" i="63"/>
  <c r="F75" i="63"/>
  <c r="E71" i="61" s="1"/>
  <c r="E135" i="63"/>
  <c r="M135" i="63" s="1"/>
  <c r="M174" i="63"/>
  <c r="E74" i="63"/>
  <c r="D70" i="61" s="1"/>
  <c r="E142" i="63"/>
  <c r="M142" i="63" s="1"/>
  <c r="E77" i="63"/>
  <c r="D72" i="61" s="1"/>
  <c r="M192" i="63"/>
  <c r="E175" i="63"/>
  <c r="M175" i="63" s="1"/>
  <c r="E119" i="63"/>
  <c r="D204" i="64"/>
  <c r="D25" i="64" s="1"/>
  <c r="L45" i="66"/>
  <c r="D150" i="65"/>
  <c r="L150" i="65" s="1"/>
  <c r="D36" i="66"/>
  <c r="D50" i="62"/>
  <c r="D148" i="66"/>
  <c r="L148" i="66" s="1"/>
  <c r="H15" i="62"/>
  <c r="H16" i="62"/>
  <c r="H18" i="62"/>
  <c r="H14" i="62"/>
  <c r="H17" i="62"/>
  <c r="H176" i="65"/>
  <c r="H185" i="65"/>
  <c r="P185" i="65" s="1"/>
  <c r="H167" i="65"/>
  <c r="H114" i="65"/>
  <c r="H117" i="65" s="1"/>
  <c r="H158" i="65"/>
  <c r="H106" i="65"/>
  <c r="H109" i="65" s="1"/>
  <c r="H122" i="65"/>
  <c r="H130" i="65"/>
  <c r="H160" i="65"/>
  <c r="P160" i="65" s="1"/>
  <c r="H123" i="65"/>
  <c r="P123" i="65" s="1"/>
  <c r="H107" i="65"/>
  <c r="H116" i="65"/>
  <c r="H131" i="65"/>
  <c r="P131" i="65" s="1"/>
  <c r="H124" i="65"/>
  <c r="P124" i="65" s="1"/>
  <c r="H115" i="65"/>
  <c r="H132" i="65"/>
  <c r="P132" i="65" s="1"/>
  <c r="H108" i="65"/>
  <c r="P178" i="65"/>
  <c r="L181" i="63"/>
  <c r="L186" i="63" s="1"/>
  <c r="L25" i="63" s="1"/>
  <c r="D186" i="63"/>
  <c r="D25" i="63" s="1"/>
  <c r="I14" i="62"/>
  <c r="I18" i="62"/>
  <c r="I16" i="62"/>
  <c r="I17" i="62"/>
  <c r="I15" i="62"/>
  <c r="D29" i="61"/>
  <c r="G66" i="64"/>
  <c r="G63" i="64"/>
  <c r="G76" i="64"/>
  <c r="G71" i="64"/>
  <c r="G123" i="64"/>
  <c r="G126" i="64" s="1"/>
  <c r="G139" i="64"/>
  <c r="G142" i="64" s="1"/>
  <c r="G131" i="64"/>
  <c r="G134" i="64" s="1"/>
  <c r="G62" i="64"/>
  <c r="G70" i="64"/>
  <c r="G115" i="64"/>
  <c r="G118" i="64" s="1"/>
  <c r="H77" i="64"/>
  <c r="G67" i="64"/>
  <c r="G75" i="64"/>
  <c r="G141" i="64"/>
  <c r="G125" i="64"/>
  <c r="G72" i="64"/>
  <c r="H73" i="64"/>
  <c r="H69" i="64"/>
  <c r="H74" i="64"/>
  <c r="G140" i="64"/>
  <c r="H68" i="64"/>
  <c r="G117" i="64"/>
  <c r="G133" i="64"/>
  <c r="G132" i="64"/>
  <c r="G124" i="64"/>
  <c r="G116" i="64"/>
  <c r="L108" i="63"/>
  <c r="H22" i="61"/>
  <c r="E39" i="62"/>
  <c r="E148" i="65" s="1"/>
  <c r="E42" i="62"/>
  <c r="E40" i="62"/>
  <c r="E41" i="62"/>
  <c r="E45" i="66" s="1"/>
  <c r="E47" i="65" s="1"/>
  <c r="M47" i="65" s="1"/>
  <c r="L35" i="66" l="1"/>
  <c r="D37" i="65"/>
  <c r="L37" i="65" s="1"/>
  <c r="L44" i="66"/>
  <c r="D46" i="65"/>
  <c r="L46" i="65" s="1"/>
  <c r="L37" i="66"/>
  <c r="D39" i="65"/>
  <c r="L39" i="65" s="1"/>
  <c r="L40" i="65" s="1"/>
  <c r="L12" i="65" s="1"/>
  <c r="L46" i="66"/>
  <c r="D48" i="65"/>
  <c r="L48" i="65" s="1"/>
  <c r="L36" i="66"/>
  <c r="D38" i="65"/>
  <c r="L38" i="65" s="1"/>
  <c r="L48" i="64"/>
  <c r="D50" i="63"/>
  <c r="L50" i="63" s="1"/>
  <c r="L45" i="64"/>
  <c r="D47" i="63"/>
  <c r="L47" i="63" s="1"/>
  <c r="L46" i="64"/>
  <c r="D48" i="63"/>
  <c r="L48" i="63" s="1"/>
  <c r="L36" i="64"/>
  <c r="D38" i="63"/>
  <c r="L38" i="63" s="1"/>
  <c r="L47" i="64"/>
  <c r="D49" i="63"/>
  <c r="L49" i="63" s="1"/>
  <c r="L38" i="64"/>
  <c r="D40" i="63"/>
  <c r="L40" i="63" s="1"/>
  <c r="L35" i="64"/>
  <c r="D37" i="63"/>
  <c r="L37" i="63" s="1"/>
  <c r="L37" i="64"/>
  <c r="D39" i="63"/>
  <c r="L39" i="63" s="1"/>
  <c r="I164" i="63"/>
  <c r="I162" i="64"/>
  <c r="H162" i="64"/>
  <c r="H164" i="63"/>
  <c r="F161" i="63"/>
  <c r="F159" i="64"/>
  <c r="G161" i="63"/>
  <c r="G159" i="64"/>
  <c r="I158" i="64"/>
  <c r="I160" i="63"/>
  <c r="H162" i="63"/>
  <c r="H160" i="64"/>
  <c r="F160" i="63"/>
  <c r="F158" i="64"/>
  <c r="E161" i="63"/>
  <c r="E159" i="64"/>
  <c r="G158" i="64"/>
  <c r="G160" i="63"/>
  <c r="F164" i="63"/>
  <c r="F162" i="64"/>
  <c r="E160" i="63"/>
  <c r="E158" i="64"/>
  <c r="G162" i="63"/>
  <c r="G160" i="64"/>
  <c r="F163" i="63"/>
  <c r="F161" i="64"/>
  <c r="E163" i="63"/>
  <c r="E161" i="64"/>
  <c r="G163" i="63"/>
  <c r="G161" i="64"/>
  <c r="I162" i="63"/>
  <c r="I160" i="64"/>
  <c r="H160" i="63"/>
  <c r="H158" i="64"/>
  <c r="I80" i="63"/>
  <c r="E162" i="63"/>
  <c r="M162" i="63" s="1"/>
  <c r="E160" i="64"/>
  <c r="G164" i="63"/>
  <c r="G162" i="64"/>
  <c r="I161" i="63"/>
  <c r="Q161" i="63" s="1"/>
  <c r="I159" i="64"/>
  <c r="E162" i="64"/>
  <c r="E164" i="63"/>
  <c r="F162" i="63"/>
  <c r="F160" i="64"/>
  <c r="H161" i="63"/>
  <c r="H159" i="64"/>
  <c r="I163" i="63"/>
  <c r="I161" i="64"/>
  <c r="H163" i="63"/>
  <c r="P163" i="63" s="1"/>
  <c r="H161" i="64"/>
  <c r="I72" i="65"/>
  <c r="E70" i="61"/>
  <c r="D162" i="65"/>
  <c r="D24" i="65" s="1"/>
  <c r="D187" i="66"/>
  <c r="D25" i="66" s="1"/>
  <c r="L171" i="65"/>
  <c r="L25" i="65" s="1"/>
  <c r="D180" i="65"/>
  <c r="D26" i="65" s="1"/>
  <c r="L180" i="65"/>
  <c r="L26" i="65" s="1"/>
  <c r="D189" i="65"/>
  <c r="D27" i="65" s="1"/>
  <c r="D171" i="65"/>
  <c r="D25" i="65" s="1"/>
  <c r="F186" i="66"/>
  <c r="F179" i="65"/>
  <c r="N179" i="65" s="1"/>
  <c r="F170" i="65"/>
  <c r="N170" i="65" s="1"/>
  <c r="F168" i="66"/>
  <c r="F161" i="65"/>
  <c r="N161" i="65" s="1"/>
  <c r="F177" i="66"/>
  <c r="F159" i="66"/>
  <c r="F188" i="65"/>
  <c r="N188" i="65" s="1"/>
  <c r="F46" i="66"/>
  <c r="F96" i="66"/>
  <c r="F52" i="66"/>
  <c r="F87" i="66"/>
  <c r="F78" i="66"/>
  <c r="E186" i="66"/>
  <c r="E177" i="66"/>
  <c r="E188" i="65"/>
  <c r="M188" i="65" s="1"/>
  <c r="E179" i="65"/>
  <c r="M179" i="65" s="1"/>
  <c r="E170" i="65"/>
  <c r="M170" i="65" s="1"/>
  <c r="E161" i="65"/>
  <c r="M161" i="65" s="1"/>
  <c r="E168" i="66"/>
  <c r="E159" i="66"/>
  <c r="E46" i="66"/>
  <c r="F79" i="66"/>
  <c r="F88" i="66"/>
  <c r="F97" i="66"/>
  <c r="E79" i="66"/>
  <c r="E88" i="66"/>
  <c r="E97" i="66"/>
  <c r="G54" i="66"/>
  <c r="O54" i="66" s="1"/>
  <c r="E87" i="66"/>
  <c r="E78" i="66"/>
  <c r="E96" i="66"/>
  <c r="E52" i="66"/>
  <c r="I96" i="66"/>
  <c r="I87" i="66"/>
  <c r="I78" i="66"/>
  <c r="G186" i="66"/>
  <c r="G177" i="66"/>
  <c r="G161" i="65"/>
  <c r="O161" i="65" s="1"/>
  <c r="G168" i="66"/>
  <c r="G179" i="65"/>
  <c r="O179" i="65" s="1"/>
  <c r="G159" i="66"/>
  <c r="G170" i="65"/>
  <c r="O170" i="65" s="1"/>
  <c r="G188" i="65"/>
  <c r="O188" i="65" s="1"/>
  <c r="G46" i="66"/>
  <c r="G96" i="66"/>
  <c r="G52" i="66"/>
  <c r="G87" i="66"/>
  <c r="G78" i="66"/>
  <c r="G79" i="66"/>
  <c r="G97" i="66"/>
  <c r="G88" i="66"/>
  <c r="I54" i="66"/>
  <c r="Q54" i="66" s="1"/>
  <c r="I97" i="66"/>
  <c r="I88" i="66"/>
  <c r="I52" i="66"/>
  <c r="I79" i="66"/>
  <c r="H96" i="66"/>
  <c r="H52" i="66"/>
  <c r="H78" i="66"/>
  <c r="H87" i="66"/>
  <c r="I186" i="66"/>
  <c r="H186" i="66"/>
  <c r="I159" i="66"/>
  <c r="I177" i="66"/>
  <c r="H188" i="65"/>
  <c r="P188" i="65" s="1"/>
  <c r="H161" i="65"/>
  <c r="P161" i="65" s="1"/>
  <c r="H177" i="66"/>
  <c r="I161" i="65"/>
  <c r="Q161" i="65" s="1"/>
  <c r="H159" i="66"/>
  <c r="I188" i="65"/>
  <c r="Q188" i="65" s="1"/>
  <c r="H170" i="65"/>
  <c r="P170" i="65" s="1"/>
  <c r="I170" i="65"/>
  <c r="Q170" i="65" s="1"/>
  <c r="I168" i="66"/>
  <c r="H168" i="66"/>
  <c r="I179" i="65"/>
  <c r="Q179" i="65" s="1"/>
  <c r="H179" i="65"/>
  <c r="P179" i="65" s="1"/>
  <c r="I46" i="66"/>
  <c r="H46" i="66"/>
  <c r="H88" i="66"/>
  <c r="H97" i="66"/>
  <c r="H79" i="66"/>
  <c r="H175" i="66"/>
  <c r="H157" i="66"/>
  <c r="H168" i="65"/>
  <c r="P168" i="65" s="1"/>
  <c r="H177" i="65"/>
  <c r="P177" i="65" s="1"/>
  <c r="H184" i="66"/>
  <c r="H166" i="66"/>
  <c r="H159" i="65"/>
  <c r="P159" i="65" s="1"/>
  <c r="H186" i="65"/>
  <c r="P186" i="65" s="1"/>
  <c r="P189" i="65" s="1"/>
  <c r="H49" i="62"/>
  <c r="H44" i="66"/>
  <c r="G166" i="66"/>
  <c r="G186" i="65"/>
  <c r="O186" i="65" s="1"/>
  <c r="G168" i="65"/>
  <c r="O168" i="65" s="1"/>
  <c r="G175" i="66"/>
  <c r="G157" i="66"/>
  <c r="G184" i="66"/>
  <c r="G159" i="65"/>
  <c r="O159" i="65" s="1"/>
  <c r="G177" i="65"/>
  <c r="O177" i="65" s="1"/>
  <c r="G49" i="62"/>
  <c r="G44" i="66"/>
  <c r="E184" i="66"/>
  <c r="F157" i="66"/>
  <c r="F160" i="66" s="1"/>
  <c r="E157" i="66"/>
  <c r="F175" i="66"/>
  <c r="E166" i="66"/>
  <c r="E186" i="65"/>
  <c r="M186" i="65" s="1"/>
  <c r="E177" i="65"/>
  <c r="M177" i="65" s="1"/>
  <c r="E168" i="65"/>
  <c r="M168" i="65" s="1"/>
  <c r="F166" i="66"/>
  <c r="F177" i="65"/>
  <c r="N177" i="65" s="1"/>
  <c r="F184" i="66"/>
  <c r="E175" i="66"/>
  <c r="E159" i="65"/>
  <c r="M159" i="65" s="1"/>
  <c r="F159" i="65"/>
  <c r="N159" i="65" s="1"/>
  <c r="F186" i="65"/>
  <c r="F168" i="65"/>
  <c r="N168" i="65" s="1"/>
  <c r="F49" i="62"/>
  <c r="E44" i="66"/>
  <c r="F44" i="66"/>
  <c r="H54" i="66"/>
  <c r="P54" i="66" s="1"/>
  <c r="H85" i="66"/>
  <c r="H94" i="66"/>
  <c r="H76" i="66"/>
  <c r="F54" i="66"/>
  <c r="N54" i="66" s="1"/>
  <c r="F94" i="66"/>
  <c r="F85" i="66"/>
  <c r="F76" i="66"/>
  <c r="G85" i="66"/>
  <c r="G76" i="66"/>
  <c r="G94" i="66"/>
  <c r="E54" i="66"/>
  <c r="M54" i="66" s="1"/>
  <c r="E85" i="66"/>
  <c r="E76" i="66"/>
  <c r="E94" i="66"/>
  <c r="I175" i="66"/>
  <c r="I186" i="65"/>
  <c r="Q186" i="65" s="1"/>
  <c r="Q189" i="65" s="1"/>
  <c r="Q190" i="65" s="1"/>
  <c r="I177" i="65"/>
  <c r="Q177" i="65" s="1"/>
  <c r="I166" i="66"/>
  <c r="I157" i="66"/>
  <c r="I168" i="65"/>
  <c r="Q168" i="65" s="1"/>
  <c r="I159" i="65"/>
  <c r="Q159" i="65" s="1"/>
  <c r="I184" i="66"/>
  <c r="I187" i="66" s="1"/>
  <c r="I44" i="66"/>
  <c r="I76" i="66"/>
  <c r="I94" i="66"/>
  <c r="I85" i="66"/>
  <c r="I88" i="65"/>
  <c r="Q88" i="65" s="1"/>
  <c r="I97" i="65"/>
  <c r="Q97" i="65" s="1"/>
  <c r="I79" i="65"/>
  <c r="Q79" i="65" s="1"/>
  <c r="I73" i="65"/>
  <c r="E53" i="66"/>
  <c r="M53" i="66" s="1"/>
  <c r="E77" i="66"/>
  <c r="E95" i="66"/>
  <c r="E86" i="66"/>
  <c r="G97" i="65"/>
  <c r="O97" i="65" s="1"/>
  <c r="G79" i="65"/>
  <c r="O79" i="65" s="1"/>
  <c r="G88" i="65"/>
  <c r="O88" i="65" s="1"/>
  <c r="F77" i="61"/>
  <c r="G56" i="65"/>
  <c r="E79" i="65"/>
  <c r="M79" i="65" s="1"/>
  <c r="E97" i="65"/>
  <c r="E88" i="65"/>
  <c r="M88" i="65" s="1"/>
  <c r="H97" i="65"/>
  <c r="P97" i="65" s="1"/>
  <c r="H79" i="65"/>
  <c r="P79" i="65" s="1"/>
  <c r="H88" i="65"/>
  <c r="P88" i="65" s="1"/>
  <c r="I56" i="65"/>
  <c r="H77" i="61"/>
  <c r="F79" i="65"/>
  <c r="N79" i="65" s="1"/>
  <c r="F88" i="65"/>
  <c r="F97" i="65"/>
  <c r="N97" i="65" s="1"/>
  <c r="G53" i="66"/>
  <c r="O53" i="66" s="1"/>
  <c r="G86" i="66"/>
  <c r="G77" i="66"/>
  <c r="G95" i="66"/>
  <c r="E56" i="65"/>
  <c r="D77" i="61"/>
  <c r="F56" i="65"/>
  <c r="E77" i="61"/>
  <c r="I53" i="66"/>
  <c r="Q53" i="66" s="1"/>
  <c r="I95" i="66"/>
  <c r="I86" i="66"/>
  <c r="I77" i="66"/>
  <c r="F53" i="66"/>
  <c r="N53" i="66" s="1"/>
  <c r="F86" i="66"/>
  <c r="F95" i="66"/>
  <c r="F77" i="66"/>
  <c r="H56" i="65"/>
  <c r="G77" i="61"/>
  <c r="H53" i="66"/>
  <c r="P53" i="66" s="1"/>
  <c r="H95" i="66"/>
  <c r="H86" i="66"/>
  <c r="H77" i="66"/>
  <c r="Q206" i="63"/>
  <c r="Q207" i="63" s="1"/>
  <c r="Q162" i="64"/>
  <c r="N206" i="63"/>
  <c r="N27" i="63" s="1"/>
  <c r="Q159" i="64"/>
  <c r="I107" i="63"/>
  <c r="Q107" i="63" s="1"/>
  <c r="I87" i="63"/>
  <c r="Q87" i="63" s="1"/>
  <c r="I97" i="63"/>
  <c r="Q97" i="63" s="1"/>
  <c r="F106" i="63"/>
  <c r="F86" i="63"/>
  <c r="F96" i="63"/>
  <c r="H98" i="63"/>
  <c r="P98" i="63" s="1"/>
  <c r="H108" i="63"/>
  <c r="P108" i="63" s="1"/>
  <c r="H88" i="63"/>
  <c r="P88" i="63" s="1"/>
  <c r="I89" i="63"/>
  <c r="Q89" i="63" s="1"/>
  <c r="I99" i="63"/>
  <c r="Q99" i="63" s="1"/>
  <c r="I109" i="63"/>
  <c r="Q109" i="63" s="1"/>
  <c r="G97" i="63"/>
  <c r="G107" i="63"/>
  <c r="O107" i="63" s="1"/>
  <c r="G87" i="63"/>
  <c r="O87" i="63" s="1"/>
  <c r="M206" i="63"/>
  <c r="Q161" i="64"/>
  <c r="E109" i="63"/>
  <c r="M109" i="63" s="1"/>
  <c r="E89" i="63"/>
  <c r="M89" i="63" s="1"/>
  <c r="E99" i="63"/>
  <c r="M99" i="63" s="1"/>
  <c r="Q27" i="63"/>
  <c r="G106" i="63"/>
  <c r="G86" i="63"/>
  <c r="G96" i="63"/>
  <c r="F88" i="63"/>
  <c r="N88" i="63" s="1"/>
  <c r="F108" i="63"/>
  <c r="N108" i="63" s="1"/>
  <c r="F98" i="63"/>
  <c r="N98" i="63" s="1"/>
  <c r="E96" i="63"/>
  <c r="E106" i="63"/>
  <c r="E86" i="63"/>
  <c r="I98" i="63"/>
  <c r="Q98" i="63" s="1"/>
  <c r="I108" i="63"/>
  <c r="Q108" i="63" s="1"/>
  <c r="I88" i="63"/>
  <c r="Q88" i="63" s="1"/>
  <c r="F97" i="63"/>
  <c r="N97" i="63" s="1"/>
  <c r="F107" i="63"/>
  <c r="F87" i="63"/>
  <c r="G88" i="63"/>
  <c r="O88" i="63" s="1"/>
  <c r="G98" i="63"/>
  <c r="O98" i="63" s="1"/>
  <c r="G108" i="63"/>
  <c r="O108" i="63" s="1"/>
  <c r="H96" i="63"/>
  <c r="H86" i="63"/>
  <c r="H106" i="63"/>
  <c r="E88" i="63"/>
  <c r="M88" i="63" s="1"/>
  <c r="E98" i="63"/>
  <c r="M98" i="63" s="1"/>
  <c r="E108" i="63"/>
  <c r="M108" i="63" s="1"/>
  <c r="H100" i="63"/>
  <c r="P100" i="63" s="1"/>
  <c r="H90" i="63"/>
  <c r="P90" i="63" s="1"/>
  <c r="H110" i="63"/>
  <c r="P110" i="63" s="1"/>
  <c r="P206" i="63"/>
  <c r="I86" i="63"/>
  <c r="I96" i="63"/>
  <c r="I106" i="63"/>
  <c r="F110" i="63"/>
  <c r="N110" i="63" s="1"/>
  <c r="F90" i="63"/>
  <c r="N90" i="63" s="1"/>
  <c r="F100" i="63"/>
  <c r="N100" i="63" s="1"/>
  <c r="G89" i="63"/>
  <c r="O89" i="63" s="1"/>
  <c r="G99" i="63"/>
  <c r="O99" i="63" s="1"/>
  <c r="G109" i="63"/>
  <c r="O109" i="63" s="1"/>
  <c r="H89" i="63"/>
  <c r="P89" i="63" s="1"/>
  <c r="H109" i="63"/>
  <c r="P109" i="63" s="1"/>
  <c r="H99" i="63"/>
  <c r="P99" i="63" s="1"/>
  <c r="E100" i="63"/>
  <c r="M100" i="63" s="1"/>
  <c r="E110" i="63"/>
  <c r="E90" i="63"/>
  <c r="M90" i="63" s="1"/>
  <c r="D66" i="61"/>
  <c r="E87" i="63"/>
  <c r="M87" i="63" s="1"/>
  <c r="E107" i="63"/>
  <c r="E97" i="63"/>
  <c r="M97" i="63" s="1"/>
  <c r="I90" i="63"/>
  <c r="Q90" i="63" s="1"/>
  <c r="I100" i="63"/>
  <c r="Q100" i="63" s="1"/>
  <c r="I110" i="63"/>
  <c r="H107" i="63"/>
  <c r="P107" i="63" s="1"/>
  <c r="H87" i="63"/>
  <c r="P87" i="63" s="1"/>
  <c r="H97" i="63"/>
  <c r="P97" i="63" s="1"/>
  <c r="F99" i="63"/>
  <c r="F89" i="63"/>
  <c r="N89" i="63" s="1"/>
  <c r="F109" i="63"/>
  <c r="N109" i="63" s="1"/>
  <c r="G110" i="63"/>
  <c r="O110" i="63" s="1"/>
  <c r="G90" i="63"/>
  <c r="O90" i="63" s="1"/>
  <c r="G100" i="63"/>
  <c r="O100" i="63" s="1"/>
  <c r="O206" i="63"/>
  <c r="H79" i="61"/>
  <c r="D79" i="61"/>
  <c r="H70" i="61"/>
  <c r="I204" i="64"/>
  <c r="I25" i="64" s="1"/>
  <c r="F70" i="61"/>
  <c r="G67" i="61"/>
  <c r="E206" i="63"/>
  <c r="E207" i="63" s="1"/>
  <c r="D53" i="62"/>
  <c r="C41" i="61" s="1"/>
  <c r="F79" i="61"/>
  <c r="D109" i="64"/>
  <c r="D15" i="64" s="1"/>
  <c r="G194" i="64"/>
  <c r="G24" i="64" s="1"/>
  <c r="E48" i="62"/>
  <c r="E147" i="66"/>
  <c r="M147" i="66" s="1"/>
  <c r="E149" i="65"/>
  <c r="M149" i="65" s="1"/>
  <c r="E35" i="66"/>
  <c r="G143" i="64"/>
  <c r="G19" i="64"/>
  <c r="G184" i="64"/>
  <c r="G75" i="61"/>
  <c r="D69" i="61"/>
  <c r="M186" i="63"/>
  <c r="E186" i="63"/>
  <c r="I143" i="64"/>
  <c r="I19" i="64"/>
  <c r="I56" i="64"/>
  <c r="Q56" i="64" s="1"/>
  <c r="F46" i="62"/>
  <c r="F195" i="65"/>
  <c r="F43" i="66"/>
  <c r="F45" i="65" s="1"/>
  <c r="N45" i="65" s="1"/>
  <c r="F34" i="66"/>
  <c r="F36" i="65" s="1"/>
  <c r="N36" i="65" s="1"/>
  <c r="F146" i="66"/>
  <c r="F193" i="66"/>
  <c r="F148" i="65"/>
  <c r="E14" i="61"/>
  <c r="F207" i="66"/>
  <c r="N207" i="66" s="1"/>
  <c r="F199" i="66"/>
  <c r="N199" i="66" s="1"/>
  <c r="F194" i="66"/>
  <c r="N194" i="66" s="1"/>
  <c r="F210" i="65"/>
  <c r="N210" i="65" s="1"/>
  <c r="F211" i="65"/>
  <c r="N211" i="65" s="1"/>
  <c r="F197" i="66"/>
  <c r="N197" i="66" s="1"/>
  <c r="F201" i="65"/>
  <c r="N201" i="65" s="1"/>
  <c r="F208" i="65"/>
  <c r="N208" i="65" s="1"/>
  <c r="F43" i="62"/>
  <c r="F200" i="66"/>
  <c r="N200" i="66" s="1"/>
  <c r="F209" i="66"/>
  <c r="N209" i="66" s="1"/>
  <c r="F202" i="66"/>
  <c r="N202" i="66" s="1"/>
  <c r="F205" i="66"/>
  <c r="N205" i="66" s="1"/>
  <c r="F195" i="66"/>
  <c r="N195" i="66" s="1"/>
  <c r="F198" i="65"/>
  <c r="N198" i="65" s="1"/>
  <c r="F204" i="66"/>
  <c r="N204" i="66" s="1"/>
  <c r="F201" i="66"/>
  <c r="N201" i="66" s="1"/>
  <c r="F196" i="65"/>
  <c r="N196" i="65" s="1"/>
  <c r="F198" i="66"/>
  <c r="N198" i="66" s="1"/>
  <c r="F196" i="66"/>
  <c r="N196" i="66" s="1"/>
  <c r="F206" i="66"/>
  <c r="N206" i="66" s="1"/>
  <c r="F208" i="66"/>
  <c r="N208" i="66" s="1"/>
  <c r="F206" i="65"/>
  <c r="N206" i="65" s="1"/>
  <c r="F204" i="65"/>
  <c r="N204" i="65" s="1"/>
  <c r="F202" i="65"/>
  <c r="N202" i="65" s="1"/>
  <c r="F205" i="65"/>
  <c r="N205" i="65" s="1"/>
  <c r="F199" i="65"/>
  <c r="N199" i="65" s="1"/>
  <c r="F200" i="65"/>
  <c r="N200" i="65" s="1"/>
  <c r="F203" i="65"/>
  <c r="N203" i="65" s="1"/>
  <c r="F207" i="65"/>
  <c r="N207" i="65" s="1"/>
  <c r="F209" i="65"/>
  <c r="N209" i="65" s="1"/>
  <c r="F197" i="65"/>
  <c r="N197" i="65" s="1"/>
  <c r="G47" i="62"/>
  <c r="F203" i="66"/>
  <c r="N203" i="66" s="1"/>
  <c r="D210" i="66"/>
  <c r="D26" i="66" s="1"/>
  <c r="L193" i="66"/>
  <c r="L210" i="66" s="1"/>
  <c r="L26" i="66" s="1"/>
  <c r="E116" i="66"/>
  <c r="E17" i="66"/>
  <c r="D98" i="66"/>
  <c r="D15" i="66" s="1"/>
  <c r="F19" i="64"/>
  <c r="F143" i="64"/>
  <c r="H19" i="66"/>
  <c r="H132" i="66"/>
  <c r="H57" i="63"/>
  <c r="G64" i="61"/>
  <c r="H80" i="63"/>
  <c r="H81" i="63" s="1"/>
  <c r="H176" i="63"/>
  <c r="P176" i="63"/>
  <c r="E54" i="64"/>
  <c r="E86" i="64"/>
  <c r="E96" i="64"/>
  <c r="E106" i="64"/>
  <c r="E98" i="64"/>
  <c r="E88" i="64"/>
  <c r="E108" i="64"/>
  <c r="I18" i="63"/>
  <c r="I121" i="63"/>
  <c r="H94" i="61" s="1"/>
  <c r="H64" i="61"/>
  <c r="I81" i="63"/>
  <c r="I57" i="63"/>
  <c r="I46" i="62"/>
  <c r="I148" i="65"/>
  <c r="I34" i="66"/>
  <c r="I36" i="65" s="1"/>
  <c r="Q36" i="65" s="1"/>
  <c r="I43" i="66"/>
  <c r="I45" i="65" s="1"/>
  <c r="Q45" i="65" s="1"/>
  <c r="I195" i="65"/>
  <c r="I146" i="66"/>
  <c r="I193" i="66"/>
  <c r="H14" i="61"/>
  <c r="I210" i="65"/>
  <c r="Q210" i="65" s="1"/>
  <c r="I196" i="66"/>
  <c r="Q196" i="66" s="1"/>
  <c r="I204" i="66"/>
  <c r="Q204" i="66" s="1"/>
  <c r="I197" i="65"/>
  <c r="Q197" i="65" s="1"/>
  <c r="I196" i="65"/>
  <c r="Q196" i="65" s="1"/>
  <c r="I209" i="65"/>
  <c r="Q209" i="65" s="1"/>
  <c r="I209" i="66"/>
  <c r="Q209" i="66" s="1"/>
  <c r="I207" i="66"/>
  <c r="Q207" i="66" s="1"/>
  <c r="I207" i="65"/>
  <c r="Q207" i="65" s="1"/>
  <c r="I199" i="65"/>
  <c r="Q199" i="65" s="1"/>
  <c r="I206" i="66"/>
  <c r="Q206" i="66" s="1"/>
  <c r="I201" i="65"/>
  <c r="Q201" i="65" s="1"/>
  <c r="I199" i="66"/>
  <c r="Q199" i="66" s="1"/>
  <c r="I203" i="65"/>
  <c r="Q203" i="65" s="1"/>
  <c r="I200" i="66"/>
  <c r="Q200" i="66" s="1"/>
  <c r="I202" i="65"/>
  <c r="Q202" i="65" s="1"/>
  <c r="I43" i="62"/>
  <c r="I205" i="65"/>
  <c r="Q205" i="65" s="1"/>
  <c r="I205" i="66"/>
  <c r="Q205" i="66" s="1"/>
  <c r="I194" i="66"/>
  <c r="Q194" i="66" s="1"/>
  <c r="I203" i="66"/>
  <c r="Q203" i="66" s="1"/>
  <c r="I198" i="66"/>
  <c r="Q198" i="66" s="1"/>
  <c r="I200" i="65"/>
  <c r="Q200" i="65" s="1"/>
  <c r="I211" i="65"/>
  <c r="Q211" i="65" s="1"/>
  <c r="I198" i="65"/>
  <c r="Q198" i="65" s="1"/>
  <c r="I208" i="65"/>
  <c r="Q208" i="65" s="1"/>
  <c r="I195" i="66"/>
  <c r="Q195" i="66" s="1"/>
  <c r="I208" i="66"/>
  <c r="Q208" i="66" s="1"/>
  <c r="I197" i="66"/>
  <c r="Q197" i="66" s="1"/>
  <c r="I206" i="65"/>
  <c r="Q206" i="65" s="1"/>
  <c r="I201" i="66"/>
  <c r="Q201" i="66" s="1"/>
  <c r="I202" i="66"/>
  <c r="Q202" i="66" s="1"/>
  <c r="I204" i="65"/>
  <c r="Q204" i="65" s="1"/>
  <c r="I118" i="65"/>
  <c r="I19" i="65"/>
  <c r="H87" i="64"/>
  <c r="H97" i="64"/>
  <c r="H107" i="64"/>
  <c r="H119" i="64"/>
  <c r="H16" i="64"/>
  <c r="E37" i="64"/>
  <c r="M161" i="64"/>
  <c r="E27" i="62"/>
  <c r="E47" i="64"/>
  <c r="F28" i="62"/>
  <c r="F129" i="63"/>
  <c r="E95" i="61" s="1"/>
  <c r="F19" i="63"/>
  <c r="E73" i="61"/>
  <c r="F69" i="61"/>
  <c r="O196" i="63"/>
  <c r="G196" i="63"/>
  <c r="G148" i="66"/>
  <c r="O148" i="66" s="1"/>
  <c r="G50" i="62"/>
  <c r="G150" i="65"/>
  <c r="O150" i="65" s="1"/>
  <c r="O45" i="66"/>
  <c r="G36" i="66"/>
  <c r="N158" i="65"/>
  <c r="H148" i="66"/>
  <c r="P148" i="66" s="1"/>
  <c r="H150" i="65"/>
  <c r="P150" i="65" s="1"/>
  <c r="H36" i="66"/>
  <c r="H50" i="62"/>
  <c r="P45" i="66"/>
  <c r="D75" i="61"/>
  <c r="E125" i="65"/>
  <c r="M122" i="65"/>
  <c r="M125" i="65" s="1"/>
  <c r="M126" i="65" s="1"/>
  <c r="I17" i="66"/>
  <c r="I116" i="66"/>
  <c r="G118" i="65"/>
  <c r="G19" i="65"/>
  <c r="D140" i="66"/>
  <c r="D20" i="66" s="1"/>
  <c r="H35" i="64"/>
  <c r="P159" i="64"/>
  <c r="H24" i="62"/>
  <c r="I25" i="62"/>
  <c r="H45" i="64"/>
  <c r="P167" i="65"/>
  <c r="G17" i="64"/>
  <c r="G127" i="64"/>
  <c r="E80" i="63"/>
  <c r="E81" i="63" s="1"/>
  <c r="D64" i="61"/>
  <c r="E57" i="63"/>
  <c r="I108" i="64"/>
  <c r="I88" i="64"/>
  <c r="I98" i="64"/>
  <c r="F36" i="66"/>
  <c r="F150" i="65"/>
  <c r="N150" i="65" s="1"/>
  <c r="F50" i="62"/>
  <c r="F148" i="66"/>
  <c r="N148" i="66" s="1"/>
  <c r="N45" i="66"/>
  <c r="L43" i="66"/>
  <c r="L47" i="66" s="1"/>
  <c r="L11" i="66" s="1"/>
  <c r="D47" i="66"/>
  <c r="D11" i="66" s="1"/>
  <c r="D11" i="65" s="1"/>
  <c r="E108" i="66"/>
  <c r="E16" i="66"/>
  <c r="N161" i="63"/>
  <c r="F36" i="64"/>
  <c r="F46" i="64"/>
  <c r="F26" i="62"/>
  <c r="F54" i="64"/>
  <c r="F86" i="64"/>
  <c r="F106" i="64"/>
  <c r="F96" i="64"/>
  <c r="F174" i="64"/>
  <c r="D91" i="65"/>
  <c r="D16" i="65" s="1"/>
  <c r="L87" i="65"/>
  <c r="L91" i="65" s="1"/>
  <c r="L16" i="65" s="1"/>
  <c r="F19" i="66"/>
  <c r="F132" i="66"/>
  <c r="H70" i="66"/>
  <c r="H71" i="66" s="1"/>
  <c r="G73" i="61"/>
  <c r="H206" i="63"/>
  <c r="L57" i="64"/>
  <c r="L12" i="64" s="1"/>
  <c r="D57" i="64"/>
  <c r="D12" i="64" s="1"/>
  <c r="G70" i="66"/>
  <c r="G71" i="66" s="1"/>
  <c r="E16" i="64"/>
  <c r="E119" i="64"/>
  <c r="E194" i="64"/>
  <c r="I144" i="63"/>
  <c r="Q141" i="63"/>
  <c r="Q144" i="63" s="1"/>
  <c r="Q145" i="63" s="1"/>
  <c r="I147" i="66"/>
  <c r="Q147" i="66" s="1"/>
  <c r="I149" i="65"/>
  <c r="Q149" i="65" s="1"/>
  <c r="I48" i="62"/>
  <c r="I35" i="66"/>
  <c r="I87" i="65"/>
  <c r="I78" i="65"/>
  <c r="I96" i="65"/>
  <c r="I55" i="65"/>
  <c r="H74" i="61"/>
  <c r="I133" i="65"/>
  <c r="Q130" i="65"/>
  <c r="Q133" i="65" s="1"/>
  <c r="Q134" i="65" s="1"/>
  <c r="H17" i="64"/>
  <c r="H127" i="64"/>
  <c r="H174" i="64"/>
  <c r="M160" i="64"/>
  <c r="M161" i="63"/>
  <c r="E46" i="64"/>
  <c r="E36" i="64"/>
  <c r="E26" i="62"/>
  <c r="F136" i="63"/>
  <c r="N133" i="63"/>
  <c r="N136" i="63" s="1"/>
  <c r="N137" i="63" s="1"/>
  <c r="E69" i="61"/>
  <c r="F73" i="61"/>
  <c r="G206" i="63"/>
  <c r="G193" i="66"/>
  <c r="G34" i="66"/>
  <c r="G36" i="65" s="1"/>
  <c r="O36" i="65" s="1"/>
  <c r="G46" i="62"/>
  <c r="G148" i="65"/>
  <c r="G146" i="66"/>
  <c r="G43" i="66"/>
  <c r="G45" i="65" s="1"/>
  <c r="O45" i="65" s="1"/>
  <c r="G195" i="65"/>
  <c r="F14" i="61"/>
  <c r="G203" i="65"/>
  <c r="O203" i="65" s="1"/>
  <c r="G200" i="66"/>
  <c r="O200" i="66" s="1"/>
  <c r="G196" i="66"/>
  <c r="O196" i="66" s="1"/>
  <c r="G203" i="66"/>
  <c r="O203" i="66" s="1"/>
  <c r="G210" i="65"/>
  <c r="O210" i="65" s="1"/>
  <c r="G202" i="66"/>
  <c r="O202" i="66" s="1"/>
  <c r="G205" i="65"/>
  <c r="O205" i="65" s="1"/>
  <c r="G208" i="66"/>
  <c r="O208" i="66" s="1"/>
  <c r="G202" i="65"/>
  <c r="O202" i="65" s="1"/>
  <c r="G194" i="66"/>
  <c r="O194" i="66" s="1"/>
  <c r="G198" i="66"/>
  <c r="O198" i="66" s="1"/>
  <c r="G209" i="65"/>
  <c r="O209" i="65" s="1"/>
  <c r="G201" i="65"/>
  <c r="O201" i="65" s="1"/>
  <c r="G204" i="66"/>
  <c r="O204" i="66" s="1"/>
  <c r="G206" i="65"/>
  <c r="O206" i="65" s="1"/>
  <c r="G200" i="65"/>
  <c r="O200" i="65" s="1"/>
  <c r="G198" i="65"/>
  <c r="O198" i="65" s="1"/>
  <c r="G211" i="65"/>
  <c r="O211" i="65" s="1"/>
  <c r="G207" i="65"/>
  <c r="O207" i="65" s="1"/>
  <c r="H47" i="62"/>
  <c r="G195" i="66"/>
  <c r="O195" i="66" s="1"/>
  <c r="G197" i="66"/>
  <c r="O197" i="66" s="1"/>
  <c r="G196" i="65"/>
  <c r="O196" i="65" s="1"/>
  <c r="G201" i="66"/>
  <c r="O201" i="66" s="1"/>
  <c r="G197" i="65"/>
  <c r="O197" i="65" s="1"/>
  <c r="G207" i="66"/>
  <c r="O207" i="66" s="1"/>
  <c r="G204" i="65"/>
  <c r="O204" i="65" s="1"/>
  <c r="G199" i="65"/>
  <c r="O199" i="65" s="1"/>
  <c r="G208" i="65"/>
  <c r="O208" i="65" s="1"/>
  <c r="G199" i="66"/>
  <c r="O199" i="66" s="1"/>
  <c r="G205" i="66"/>
  <c r="O205" i="66" s="1"/>
  <c r="G43" i="62"/>
  <c r="G209" i="66"/>
  <c r="O209" i="66" s="1"/>
  <c r="G206" i="66"/>
  <c r="O206" i="66" s="1"/>
  <c r="N88" i="65"/>
  <c r="E76" i="61"/>
  <c r="H149" i="65"/>
  <c r="P149" i="65" s="1"/>
  <c r="H147" i="66"/>
  <c r="P147" i="66" s="1"/>
  <c r="H48" i="62"/>
  <c r="H35" i="66"/>
  <c r="E19" i="65"/>
  <c r="E118" i="65"/>
  <c r="M167" i="65"/>
  <c r="O163" i="63"/>
  <c r="G35" i="64"/>
  <c r="G24" i="62"/>
  <c r="G45" i="64"/>
  <c r="H25" i="62"/>
  <c r="I70" i="66"/>
  <c r="I71" i="66" s="1"/>
  <c r="I16" i="66"/>
  <c r="I108" i="66"/>
  <c r="D152" i="64"/>
  <c r="D20" i="64" s="1"/>
  <c r="D22" i="65"/>
  <c r="G174" i="64"/>
  <c r="H125" i="65"/>
  <c r="P122" i="65"/>
  <c r="P125" i="65" s="1"/>
  <c r="P126" i="65" s="1"/>
  <c r="P176" i="65"/>
  <c r="H18" i="65"/>
  <c r="H110" i="65"/>
  <c r="H27" i="62"/>
  <c r="H37" i="64"/>
  <c r="P162" i="63"/>
  <c r="H47" i="64"/>
  <c r="I28" i="62"/>
  <c r="E18" i="63"/>
  <c r="E121" i="63"/>
  <c r="D94" i="61" s="1"/>
  <c r="E144" i="63"/>
  <c r="M141" i="63"/>
  <c r="M144" i="63" s="1"/>
  <c r="M145" i="63" s="1"/>
  <c r="I105" i="64"/>
  <c r="I95" i="64"/>
  <c r="I85" i="64"/>
  <c r="I174" i="64"/>
  <c r="F35" i="66"/>
  <c r="F147" i="66"/>
  <c r="N147" i="66" s="1"/>
  <c r="F149" i="65"/>
  <c r="N149" i="65" s="1"/>
  <c r="F48" i="62"/>
  <c r="E160" i="66"/>
  <c r="F24" i="62"/>
  <c r="G25" i="62"/>
  <c r="F45" i="64"/>
  <c r="N163" i="63"/>
  <c r="F35" i="64"/>
  <c r="N159" i="64"/>
  <c r="F56" i="64"/>
  <c r="N56" i="64" s="1"/>
  <c r="F184" i="64"/>
  <c r="G66" i="61"/>
  <c r="P196" i="63"/>
  <c r="H196" i="63"/>
  <c r="G18" i="66"/>
  <c r="G124" i="66"/>
  <c r="E56" i="64"/>
  <c r="M56" i="64" s="1"/>
  <c r="E184" i="64"/>
  <c r="H67" i="61"/>
  <c r="H66" i="61"/>
  <c r="I54" i="65"/>
  <c r="I80" i="65"/>
  <c r="Q80" i="65" s="1"/>
  <c r="I98" i="65"/>
  <c r="Q98" i="65" s="1"/>
  <c r="I89" i="65"/>
  <c r="Q89" i="65" s="1"/>
  <c r="H78" i="61"/>
  <c r="I162" i="65"/>
  <c r="Q158" i="65"/>
  <c r="H54" i="64"/>
  <c r="H106" i="64"/>
  <c r="H96" i="64"/>
  <c r="H86" i="64"/>
  <c r="H194" i="64"/>
  <c r="M162" i="64"/>
  <c r="E29" i="62"/>
  <c r="E38" i="64"/>
  <c r="F30" i="62"/>
  <c r="M164" i="63"/>
  <c r="E48" i="64"/>
  <c r="E64" i="61"/>
  <c r="F80" i="63"/>
  <c r="F81" i="63" s="1"/>
  <c r="F57" i="63"/>
  <c r="F144" i="63"/>
  <c r="N141" i="63"/>
  <c r="N144" i="63" s="1"/>
  <c r="N145" i="63" s="1"/>
  <c r="G121" i="63"/>
  <c r="F94" i="61" s="1"/>
  <c r="G18" i="63"/>
  <c r="G151" i="65"/>
  <c r="O151" i="65" s="1"/>
  <c r="G149" i="66"/>
  <c r="O149" i="66" s="1"/>
  <c r="G51" i="62"/>
  <c r="G37" i="66"/>
  <c r="H52" i="62"/>
  <c r="E79" i="61"/>
  <c r="F78" i="65"/>
  <c r="F96" i="65"/>
  <c r="F87" i="65"/>
  <c r="F55" i="65"/>
  <c r="F72" i="65"/>
  <c r="F73" i="65" s="1"/>
  <c r="E74" i="61"/>
  <c r="H46" i="62"/>
  <c r="H193" i="66"/>
  <c r="H43" i="66"/>
  <c r="H45" i="65" s="1"/>
  <c r="P45" i="65" s="1"/>
  <c r="H146" i="66"/>
  <c r="H195" i="65"/>
  <c r="H34" i="66"/>
  <c r="H36" i="65" s="1"/>
  <c r="P36" i="65" s="1"/>
  <c r="H148" i="65"/>
  <c r="G14" i="61"/>
  <c r="H198" i="66"/>
  <c r="P198" i="66" s="1"/>
  <c r="H207" i="66"/>
  <c r="P207" i="66" s="1"/>
  <c r="H194" i="66"/>
  <c r="P194" i="66" s="1"/>
  <c r="H208" i="65"/>
  <c r="P208" i="65" s="1"/>
  <c r="H200" i="65"/>
  <c r="P200" i="65" s="1"/>
  <c r="H43" i="62"/>
  <c r="H202" i="65"/>
  <c r="P202" i="65" s="1"/>
  <c r="H197" i="66"/>
  <c r="P197" i="66" s="1"/>
  <c r="H206" i="66"/>
  <c r="P206" i="66" s="1"/>
  <c r="H211" i="65"/>
  <c r="P211" i="65" s="1"/>
  <c r="H199" i="66"/>
  <c r="P199" i="66" s="1"/>
  <c r="H203" i="65"/>
  <c r="P203" i="65" s="1"/>
  <c r="H203" i="66"/>
  <c r="P203" i="66" s="1"/>
  <c r="H202" i="66"/>
  <c r="P202" i="66" s="1"/>
  <c r="H204" i="65"/>
  <c r="P204" i="65" s="1"/>
  <c r="I47" i="62"/>
  <c r="H196" i="66"/>
  <c r="P196" i="66" s="1"/>
  <c r="H206" i="65"/>
  <c r="P206" i="65" s="1"/>
  <c r="H201" i="66"/>
  <c r="P201" i="66" s="1"/>
  <c r="H201" i="65"/>
  <c r="P201" i="65" s="1"/>
  <c r="H204" i="66"/>
  <c r="P204" i="66" s="1"/>
  <c r="H205" i="66"/>
  <c r="P205" i="66" s="1"/>
  <c r="H197" i="65"/>
  <c r="P197" i="65" s="1"/>
  <c r="H210" i="65"/>
  <c r="P210" i="65" s="1"/>
  <c r="H207" i="65"/>
  <c r="P207" i="65" s="1"/>
  <c r="H195" i="66"/>
  <c r="P195" i="66" s="1"/>
  <c r="H196" i="65"/>
  <c r="P196" i="65" s="1"/>
  <c r="H209" i="66"/>
  <c r="P209" i="66" s="1"/>
  <c r="H199" i="65"/>
  <c r="P199" i="65" s="1"/>
  <c r="H200" i="66"/>
  <c r="P200" i="66" s="1"/>
  <c r="H198" i="65"/>
  <c r="P198" i="65" s="1"/>
  <c r="H205" i="65"/>
  <c r="P205" i="65" s="1"/>
  <c r="H208" i="66"/>
  <c r="P208" i="66" s="1"/>
  <c r="H209" i="65"/>
  <c r="P209" i="65" s="1"/>
  <c r="M97" i="65"/>
  <c r="D76" i="61"/>
  <c r="E90" i="65"/>
  <c r="M90" i="65" s="1"/>
  <c r="E99" i="65"/>
  <c r="M99" i="65" s="1"/>
  <c r="E81" i="65"/>
  <c r="M81" i="65" s="1"/>
  <c r="M176" i="65"/>
  <c r="G22" i="62"/>
  <c r="G34" i="64"/>
  <c r="G36" i="63" s="1"/>
  <c r="O36" i="63" s="1"/>
  <c r="G44" i="64"/>
  <c r="G46" i="63" s="1"/>
  <c r="O160" i="63"/>
  <c r="G212" i="63"/>
  <c r="G210" i="64"/>
  <c r="G224" i="63"/>
  <c r="O224" i="63" s="1"/>
  <c r="G215" i="63"/>
  <c r="O215" i="63" s="1"/>
  <c r="G216" i="63"/>
  <c r="O216" i="63" s="1"/>
  <c r="G226" i="64"/>
  <c r="O226" i="64" s="1"/>
  <c r="G19" i="62"/>
  <c r="G213" i="63"/>
  <c r="O213" i="63" s="1"/>
  <c r="G217" i="64"/>
  <c r="O217" i="64" s="1"/>
  <c r="G212" i="64"/>
  <c r="O212" i="64" s="1"/>
  <c r="H23" i="62"/>
  <c r="G223" i="64"/>
  <c r="O223" i="64" s="1"/>
  <c r="G219" i="64"/>
  <c r="O219" i="64" s="1"/>
  <c r="G227" i="63"/>
  <c r="O227" i="63" s="1"/>
  <c r="G216" i="64"/>
  <c r="O216" i="64" s="1"/>
  <c r="G218" i="63"/>
  <c r="O218" i="63" s="1"/>
  <c r="G214" i="63"/>
  <c r="O214" i="63" s="1"/>
  <c r="G217" i="63"/>
  <c r="O217" i="63" s="1"/>
  <c r="G213" i="64"/>
  <c r="O213" i="64" s="1"/>
  <c r="G215" i="64"/>
  <c r="O215" i="64" s="1"/>
  <c r="G225" i="63"/>
  <c r="O225" i="63" s="1"/>
  <c r="G220" i="63"/>
  <c r="O220" i="63" s="1"/>
  <c r="G228" i="63"/>
  <c r="O228" i="63" s="1"/>
  <c r="G219" i="63"/>
  <c r="O219" i="63" s="1"/>
  <c r="G224" i="64"/>
  <c r="O224" i="64" s="1"/>
  <c r="G221" i="63"/>
  <c r="O221" i="63" s="1"/>
  <c r="G211" i="64"/>
  <c r="O211" i="64" s="1"/>
  <c r="G226" i="63"/>
  <c r="O226" i="63" s="1"/>
  <c r="G222" i="63"/>
  <c r="O222" i="63" s="1"/>
  <c r="G218" i="64"/>
  <c r="O218" i="64" s="1"/>
  <c r="G223" i="63"/>
  <c r="O223" i="63" s="1"/>
  <c r="G214" i="64"/>
  <c r="O214" i="64" s="1"/>
  <c r="G222" i="64"/>
  <c r="O222" i="64" s="1"/>
  <c r="G221" i="64"/>
  <c r="O221" i="64" s="1"/>
  <c r="F9" i="61"/>
  <c r="G220" i="64"/>
  <c r="O220" i="64" s="1"/>
  <c r="G225" i="64"/>
  <c r="O225" i="64" s="1"/>
  <c r="G78" i="65"/>
  <c r="G87" i="65"/>
  <c r="G96" i="65"/>
  <c r="G72" i="65"/>
  <c r="G73" i="65" s="1"/>
  <c r="G55" i="65"/>
  <c r="F74" i="61"/>
  <c r="F76" i="61"/>
  <c r="G171" i="65"/>
  <c r="O167" i="65"/>
  <c r="L34" i="64"/>
  <c r="L39" i="64" s="1"/>
  <c r="L10" i="64" s="1"/>
  <c r="D39" i="64"/>
  <c r="D10" i="64" s="1"/>
  <c r="D10" i="63" s="1"/>
  <c r="H118" i="65"/>
  <c r="H19" i="65"/>
  <c r="G135" i="64"/>
  <c r="G18" i="64"/>
  <c r="M176" i="63"/>
  <c r="E176" i="63"/>
  <c r="I94" i="64"/>
  <c r="I84" i="64"/>
  <c r="I104" i="64"/>
  <c r="I55" i="64"/>
  <c r="Q55" i="64" s="1"/>
  <c r="I78" i="64"/>
  <c r="I79" i="64" s="1"/>
  <c r="L146" i="66"/>
  <c r="L150" i="66" s="1"/>
  <c r="L21" i="66" s="1"/>
  <c r="D150" i="66"/>
  <c r="D21" i="66" s="1"/>
  <c r="G204" i="64"/>
  <c r="H90" i="65"/>
  <c r="P90" i="65" s="1"/>
  <c r="H99" i="65"/>
  <c r="P99" i="65" s="1"/>
  <c r="H81" i="65"/>
  <c r="P81" i="65" s="1"/>
  <c r="E193" i="66"/>
  <c r="E43" i="66"/>
  <c r="E45" i="65" s="1"/>
  <c r="M45" i="65" s="1"/>
  <c r="E46" i="62"/>
  <c r="E146" i="66"/>
  <c r="E195" i="65"/>
  <c r="E34" i="66"/>
  <c r="E36" i="65" s="1"/>
  <c r="M36" i="65" s="1"/>
  <c r="E204" i="65"/>
  <c r="M204" i="65" s="1"/>
  <c r="E206" i="66"/>
  <c r="M206" i="66" s="1"/>
  <c r="E208" i="66"/>
  <c r="M208" i="66" s="1"/>
  <c r="E201" i="65"/>
  <c r="M201" i="65" s="1"/>
  <c r="E205" i="65"/>
  <c r="M205" i="65" s="1"/>
  <c r="E203" i="65"/>
  <c r="M203" i="65" s="1"/>
  <c r="E199" i="65"/>
  <c r="M199" i="65" s="1"/>
  <c r="E195" i="66"/>
  <c r="M195" i="66" s="1"/>
  <c r="D14" i="61"/>
  <c r="E196" i="65"/>
  <c r="M196" i="65" s="1"/>
  <c r="E209" i="65"/>
  <c r="M209" i="65" s="1"/>
  <c r="E202" i="65"/>
  <c r="M202" i="65" s="1"/>
  <c r="E207" i="65"/>
  <c r="M207" i="65" s="1"/>
  <c r="E207" i="66"/>
  <c r="M207" i="66" s="1"/>
  <c r="F47" i="62"/>
  <c r="E194" i="66"/>
  <c r="M194" i="66" s="1"/>
  <c r="E196" i="66"/>
  <c r="M196" i="66" s="1"/>
  <c r="E198" i="65"/>
  <c r="M198" i="65" s="1"/>
  <c r="E210" i="65"/>
  <c r="M210" i="65" s="1"/>
  <c r="E206" i="65"/>
  <c r="M206" i="65" s="1"/>
  <c r="E211" i="65"/>
  <c r="M211" i="65" s="1"/>
  <c r="E204" i="66"/>
  <c r="M204" i="66" s="1"/>
  <c r="E198" i="66"/>
  <c r="M198" i="66" s="1"/>
  <c r="E197" i="66"/>
  <c r="M197" i="66" s="1"/>
  <c r="E208" i="65"/>
  <c r="M208" i="65" s="1"/>
  <c r="E43" i="62"/>
  <c r="E205" i="66"/>
  <c r="M205" i="66" s="1"/>
  <c r="E199" i="66"/>
  <c r="M199" i="66" s="1"/>
  <c r="E197" i="65"/>
  <c r="M197" i="65" s="1"/>
  <c r="E209" i="66"/>
  <c r="M209" i="66" s="1"/>
  <c r="E200" i="65"/>
  <c r="M200" i="65" s="1"/>
  <c r="E203" i="66"/>
  <c r="M203" i="66" s="1"/>
  <c r="E200" i="66"/>
  <c r="M200" i="66" s="1"/>
  <c r="E201" i="66"/>
  <c r="M201" i="66" s="1"/>
  <c r="E202" i="66"/>
  <c r="M202" i="66" s="1"/>
  <c r="G97" i="64"/>
  <c r="G87" i="64"/>
  <c r="G107" i="64"/>
  <c r="G88" i="64"/>
  <c r="G108" i="64"/>
  <c r="G98" i="64"/>
  <c r="I24" i="62"/>
  <c r="I45" i="64"/>
  <c r="I35" i="64"/>
  <c r="Q163" i="63"/>
  <c r="H87" i="65"/>
  <c r="H96" i="65"/>
  <c r="H78" i="65"/>
  <c r="H72" i="65"/>
  <c r="H73" i="65" s="1"/>
  <c r="G74" i="61"/>
  <c r="H55" i="65"/>
  <c r="H22" i="62"/>
  <c r="H34" i="64"/>
  <c r="H36" i="63" s="1"/>
  <c r="P36" i="63" s="1"/>
  <c r="P160" i="63"/>
  <c r="H44" i="64"/>
  <c r="H46" i="63" s="1"/>
  <c r="H210" i="64"/>
  <c r="H212" i="63"/>
  <c r="H226" i="64"/>
  <c r="P226" i="64" s="1"/>
  <c r="H224" i="64"/>
  <c r="P224" i="64" s="1"/>
  <c r="H220" i="64"/>
  <c r="P220" i="64" s="1"/>
  <c r="H215" i="64"/>
  <c r="P215" i="64" s="1"/>
  <c r="H218" i="63"/>
  <c r="P218" i="63" s="1"/>
  <c r="H227" i="63"/>
  <c r="P227" i="63" s="1"/>
  <c r="H217" i="64"/>
  <c r="P217" i="64" s="1"/>
  <c r="H221" i="63"/>
  <c r="P221" i="63" s="1"/>
  <c r="H213" i="64"/>
  <c r="P213" i="64" s="1"/>
  <c r="I23" i="62"/>
  <c r="H219" i="63"/>
  <c r="P219" i="63" s="1"/>
  <c r="H222" i="64"/>
  <c r="P222" i="64" s="1"/>
  <c r="H216" i="64"/>
  <c r="P216" i="64" s="1"/>
  <c r="H225" i="63"/>
  <c r="P225" i="63" s="1"/>
  <c r="H225" i="64"/>
  <c r="P225" i="64" s="1"/>
  <c r="H223" i="63"/>
  <c r="P223" i="63" s="1"/>
  <c r="H19" i="62"/>
  <c r="H214" i="63"/>
  <c r="P214" i="63" s="1"/>
  <c r="H217" i="63"/>
  <c r="P217" i="63" s="1"/>
  <c r="H226" i="63"/>
  <c r="P226" i="63" s="1"/>
  <c r="H222" i="63"/>
  <c r="P222" i="63" s="1"/>
  <c r="H216" i="63"/>
  <c r="P216" i="63" s="1"/>
  <c r="H224" i="63"/>
  <c r="P224" i="63" s="1"/>
  <c r="H219" i="64"/>
  <c r="P219" i="64" s="1"/>
  <c r="H212" i="64"/>
  <c r="P212" i="64" s="1"/>
  <c r="H214" i="64"/>
  <c r="P214" i="64" s="1"/>
  <c r="H221" i="64"/>
  <c r="P221" i="64" s="1"/>
  <c r="H228" i="63"/>
  <c r="P228" i="63" s="1"/>
  <c r="H215" i="63"/>
  <c r="P215" i="63" s="1"/>
  <c r="H213" i="63"/>
  <c r="P213" i="63" s="1"/>
  <c r="H218" i="64"/>
  <c r="P218" i="64" s="1"/>
  <c r="H223" i="64"/>
  <c r="P223" i="64" s="1"/>
  <c r="H220" i="63"/>
  <c r="P220" i="63" s="1"/>
  <c r="G9" i="61"/>
  <c r="H211" i="64"/>
  <c r="P211" i="64" s="1"/>
  <c r="E56" i="63"/>
  <c r="M107" i="63"/>
  <c r="D68" i="61"/>
  <c r="E58" i="63"/>
  <c r="D65" i="61"/>
  <c r="I135" i="64"/>
  <c r="I18" i="64"/>
  <c r="I184" i="64"/>
  <c r="F37" i="66"/>
  <c r="F151" i="65"/>
  <c r="N151" i="65" s="1"/>
  <c r="F51" i="62"/>
  <c r="G52" i="62"/>
  <c r="F149" i="66"/>
  <c r="N149" i="66" s="1"/>
  <c r="D152" i="65"/>
  <c r="D23" i="65" s="1"/>
  <c r="L148" i="65"/>
  <c r="L152" i="65" s="1"/>
  <c r="L23" i="65" s="1"/>
  <c r="E70" i="66"/>
  <c r="E71" i="66" s="1"/>
  <c r="E132" i="66"/>
  <c r="E19" i="66"/>
  <c r="F212" i="63"/>
  <c r="F210" i="64"/>
  <c r="F22" i="62"/>
  <c r="N160" i="63"/>
  <c r="F34" i="64"/>
  <c r="F36" i="63" s="1"/>
  <c r="N36" i="63" s="1"/>
  <c r="F44" i="64"/>
  <c r="F46" i="63" s="1"/>
  <c r="F226" i="64"/>
  <c r="N226" i="64" s="1"/>
  <c r="F214" i="63"/>
  <c r="N214" i="63" s="1"/>
  <c r="F220" i="63"/>
  <c r="N220" i="63" s="1"/>
  <c r="F213" i="64"/>
  <c r="N213" i="64" s="1"/>
  <c r="F215" i="64"/>
  <c r="N215" i="64" s="1"/>
  <c r="F211" i="64"/>
  <c r="N211" i="64" s="1"/>
  <c r="F222" i="64"/>
  <c r="N222" i="64" s="1"/>
  <c r="F225" i="64"/>
  <c r="N225" i="64" s="1"/>
  <c r="G23" i="62"/>
  <c r="F226" i="63"/>
  <c r="N226" i="63" s="1"/>
  <c r="F228" i="63"/>
  <c r="N228" i="63" s="1"/>
  <c r="F219" i="63"/>
  <c r="N219" i="63" s="1"/>
  <c r="F221" i="64"/>
  <c r="N221" i="64" s="1"/>
  <c r="F220" i="64"/>
  <c r="N220" i="64" s="1"/>
  <c r="F218" i="64"/>
  <c r="N218" i="64" s="1"/>
  <c r="F217" i="63"/>
  <c r="N217" i="63" s="1"/>
  <c r="F224" i="64"/>
  <c r="N224" i="64" s="1"/>
  <c r="F218" i="63"/>
  <c r="N218" i="63" s="1"/>
  <c r="F225" i="63"/>
  <c r="N225" i="63" s="1"/>
  <c r="E9" i="61"/>
  <c r="F223" i="64"/>
  <c r="N223" i="64" s="1"/>
  <c r="F227" i="63"/>
  <c r="N227" i="63" s="1"/>
  <c r="F222" i="63"/>
  <c r="N222" i="63" s="1"/>
  <c r="F212" i="64"/>
  <c r="N212" i="64" s="1"/>
  <c r="F223" i="63"/>
  <c r="N223" i="63" s="1"/>
  <c r="F224" i="63"/>
  <c r="N224" i="63" s="1"/>
  <c r="F216" i="63"/>
  <c r="N216" i="63" s="1"/>
  <c r="F217" i="64"/>
  <c r="N217" i="64" s="1"/>
  <c r="F213" i="63"/>
  <c r="N213" i="63" s="1"/>
  <c r="F19" i="62"/>
  <c r="F219" i="64"/>
  <c r="N219" i="64" s="1"/>
  <c r="F221" i="63"/>
  <c r="N221" i="63" s="1"/>
  <c r="F215" i="63"/>
  <c r="N215" i="63" s="1"/>
  <c r="F216" i="64"/>
  <c r="N216" i="64" s="1"/>
  <c r="F214" i="64"/>
  <c r="N214" i="64" s="1"/>
  <c r="D59" i="63"/>
  <c r="D14" i="63" s="1"/>
  <c r="F88" i="64"/>
  <c r="F108" i="64"/>
  <c r="F98" i="64"/>
  <c r="F204" i="64"/>
  <c r="D82" i="65"/>
  <c r="D15" i="65" s="1"/>
  <c r="L78" i="65"/>
  <c r="L82" i="65" s="1"/>
  <c r="L15" i="65" s="1"/>
  <c r="F108" i="66"/>
  <c r="F16" i="66"/>
  <c r="H18" i="66"/>
  <c r="H124" i="66"/>
  <c r="G69" i="61"/>
  <c r="G19" i="66"/>
  <c r="G132" i="66"/>
  <c r="E105" i="64"/>
  <c r="E85" i="64"/>
  <c r="E95" i="64"/>
  <c r="E18" i="64"/>
  <c r="E135" i="64"/>
  <c r="E174" i="64"/>
  <c r="H69" i="61"/>
  <c r="I176" i="63"/>
  <c r="Q176" i="63"/>
  <c r="Q167" i="65"/>
  <c r="H95" i="64"/>
  <c r="H105" i="64"/>
  <c r="H85" i="64"/>
  <c r="H18" i="64"/>
  <c r="H135" i="64"/>
  <c r="F186" i="63"/>
  <c r="N186" i="63"/>
  <c r="F176" i="63"/>
  <c r="N176" i="63"/>
  <c r="G70" i="61"/>
  <c r="G19" i="63"/>
  <c r="G129" i="63"/>
  <c r="F95" i="61" s="1"/>
  <c r="F66" i="61"/>
  <c r="F54" i="65"/>
  <c r="F80" i="65"/>
  <c r="N80" i="65" s="1"/>
  <c r="F89" i="65"/>
  <c r="N89" i="65" s="1"/>
  <c r="F98" i="65"/>
  <c r="N98" i="65" s="1"/>
  <c r="E78" i="61"/>
  <c r="N167" i="65"/>
  <c r="H51" i="62"/>
  <c r="H151" i="65"/>
  <c r="P151" i="65" s="1"/>
  <c r="I52" i="62"/>
  <c r="H149" i="66"/>
  <c r="P149" i="66" s="1"/>
  <c r="H37" i="66"/>
  <c r="M158" i="65"/>
  <c r="G26" i="62"/>
  <c r="O161" i="63"/>
  <c r="G36" i="64"/>
  <c r="G46" i="64"/>
  <c r="O160" i="64"/>
  <c r="G110" i="65"/>
  <c r="G18" i="65"/>
  <c r="G99" i="65"/>
  <c r="O99" i="65" s="1"/>
  <c r="G90" i="65"/>
  <c r="O90" i="65" s="1"/>
  <c r="G81" i="65"/>
  <c r="O81" i="65" s="1"/>
  <c r="D22" i="63"/>
  <c r="D51" i="63"/>
  <c r="L46" i="63"/>
  <c r="L51" i="63" s="1"/>
  <c r="G104" i="64"/>
  <c r="G84" i="64"/>
  <c r="G94" i="64"/>
  <c r="G78" i="64"/>
  <c r="G79" i="64" s="1"/>
  <c r="G55" i="64"/>
  <c r="O55" i="64" s="1"/>
  <c r="G76" i="61"/>
  <c r="E37" i="66"/>
  <c r="E149" i="66"/>
  <c r="M149" i="66" s="1"/>
  <c r="E51" i="62"/>
  <c r="F52" i="62"/>
  <c r="E151" i="65"/>
  <c r="M151" i="65" s="1"/>
  <c r="G16" i="64"/>
  <c r="G119" i="64"/>
  <c r="G56" i="64"/>
  <c r="O56" i="64" s="1"/>
  <c r="Q162" i="63"/>
  <c r="I27" i="62"/>
  <c r="I37" i="64"/>
  <c r="I47" i="64"/>
  <c r="H54" i="65"/>
  <c r="H98" i="65"/>
  <c r="P98" i="65" s="1"/>
  <c r="G78" i="61"/>
  <c r="H80" i="65"/>
  <c r="P80" i="65" s="1"/>
  <c r="H89" i="65"/>
  <c r="P89" i="65" s="1"/>
  <c r="P158" i="65"/>
  <c r="P164" i="63"/>
  <c r="H48" i="64"/>
  <c r="H29" i="62"/>
  <c r="I30" i="62"/>
  <c r="H38" i="64"/>
  <c r="E196" i="63"/>
  <c r="M196" i="63"/>
  <c r="I54" i="64"/>
  <c r="I106" i="64"/>
  <c r="I86" i="64"/>
  <c r="I96" i="64"/>
  <c r="I194" i="64"/>
  <c r="D212" i="65"/>
  <c r="D28" i="65" s="1"/>
  <c r="L195" i="65"/>
  <c r="L212" i="65" s="1"/>
  <c r="L28" i="65" s="1"/>
  <c r="E18" i="66"/>
  <c r="E124" i="66"/>
  <c r="G30" i="62"/>
  <c r="F38" i="64"/>
  <c r="N164" i="63"/>
  <c r="F29" i="62"/>
  <c r="F48" i="64"/>
  <c r="D55" i="66"/>
  <c r="D12" i="66" s="1"/>
  <c r="L52" i="66"/>
  <c r="L55" i="66" s="1"/>
  <c r="L12" i="66" s="1"/>
  <c r="F84" i="64"/>
  <c r="F104" i="64"/>
  <c r="F94" i="64"/>
  <c r="F55" i="64"/>
  <c r="N55" i="64" s="1"/>
  <c r="F78" i="64"/>
  <c r="F79" i="64" s="1"/>
  <c r="F95" i="64"/>
  <c r="F105" i="64"/>
  <c r="F85" i="64"/>
  <c r="F194" i="64"/>
  <c r="D100" i="65"/>
  <c r="D17" i="65" s="1"/>
  <c r="L96" i="65"/>
  <c r="L100" i="65" s="1"/>
  <c r="L17" i="65" s="1"/>
  <c r="F169" i="66"/>
  <c r="H56" i="63"/>
  <c r="G68" i="61"/>
  <c r="P133" i="63"/>
  <c r="P136" i="63" s="1"/>
  <c r="P137" i="63" s="1"/>
  <c r="H136" i="63"/>
  <c r="G17" i="66"/>
  <c r="G116" i="66"/>
  <c r="E17" i="64"/>
  <c r="E127" i="64"/>
  <c r="E204" i="64"/>
  <c r="Q110" i="63"/>
  <c r="H73" i="61"/>
  <c r="I186" i="63"/>
  <c r="Q186" i="63"/>
  <c r="Q187" i="63" s="1"/>
  <c r="H76" i="61"/>
  <c r="H19" i="64"/>
  <c r="H143" i="64"/>
  <c r="H204" i="64"/>
  <c r="F56" i="63"/>
  <c r="N107" i="63"/>
  <c r="E68" i="61"/>
  <c r="N87" i="63"/>
  <c r="F206" i="63"/>
  <c r="G144" i="63"/>
  <c r="O141" i="63"/>
  <c r="O144" i="63" s="1"/>
  <c r="O145" i="63" s="1"/>
  <c r="O176" i="63"/>
  <c r="G176" i="63"/>
  <c r="F118" i="65"/>
  <c r="F19" i="65"/>
  <c r="E75" i="61"/>
  <c r="E78" i="65"/>
  <c r="E96" i="65"/>
  <c r="E87" i="65"/>
  <c r="E72" i="65"/>
  <c r="E73" i="65" s="1"/>
  <c r="E55" i="65"/>
  <c r="D74" i="61"/>
  <c r="G47" i="64"/>
  <c r="G27" i="62"/>
  <c r="H28" i="62"/>
  <c r="O162" i="63"/>
  <c r="G37" i="64"/>
  <c r="I19" i="66"/>
  <c r="I132" i="66"/>
  <c r="F75" i="61"/>
  <c r="O176" i="65"/>
  <c r="D229" i="63"/>
  <c r="D28" i="63" s="1"/>
  <c r="L212" i="63"/>
  <c r="L229" i="63" s="1"/>
  <c r="L28" i="63" s="1"/>
  <c r="E148" i="66"/>
  <c r="M148" i="66" s="1"/>
  <c r="M45" i="66"/>
  <c r="E150" i="65"/>
  <c r="M150" i="65" s="1"/>
  <c r="E36" i="66"/>
  <c r="E50" i="62"/>
  <c r="G54" i="64"/>
  <c r="G96" i="64"/>
  <c r="G86" i="64"/>
  <c r="G106" i="64"/>
  <c r="G105" i="64"/>
  <c r="G85" i="64"/>
  <c r="G95" i="64"/>
  <c r="I46" i="64"/>
  <c r="I36" i="64"/>
  <c r="I26" i="62"/>
  <c r="Q160" i="64"/>
  <c r="H133" i="65"/>
  <c r="P130" i="65"/>
  <c r="P133" i="65" s="1"/>
  <c r="P134" i="65" s="1"/>
  <c r="G79" i="61"/>
  <c r="H46" i="64"/>
  <c r="H26" i="62"/>
  <c r="H36" i="64"/>
  <c r="P160" i="64"/>
  <c r="P161" i="63"/>
  <c r="E136" i="63"/>
  <c r="M133" i="63"/>
  <c r="M136" i="63" s="1"/>
  <c r="M137" i="63" s="1"/>
  <c r="E129" i="63"/>
  <c r="D95" i="61" s="1"/>
  <c r="E19" i="63"/>
  <c r="I119" i="64"/>
  <c r="I16" i="64"/>
  <c r="N161" i="64"/>
  <c r="G28" i="62"/>
  <c r="F27" i="62"/>
  <c r="F47" i="64"/>
  <c r="F37" i="64"/>
  <c r="N162" i="63"/>
  <c r="L106" i="63"/>
  <c r="L111" i="63" s="1"/>
  <c r="L17" i="63" s="1"/>
  <c r="D111" i="63"/>
  <c r="D17" i="63" s="1"/>
  <c r="F135" i="64"/>
  <c r="F18" i="64"/>
  <c r="F187" i="66"/>
  <c r="H16" i="66"/>
  <c r="H108" i="66"/>
  <c r="P186" i="63"/>
  <c r="H186" i="63"/>
  <c r="E19" i="64"/>
  <c r="E143" i="64"/>
  <c r="I19" i="63"/>
  <c r="I129" i="63"/>
  <c r="H95" i="61" s="1"/>
  <c r="I206" i="63"/>
  <c r="D89" i="64"/>
  <c r="D13" i="64" s="1"/>
  <c r="I90" i="65"/>
  <c r="Q90" i="65" s="1"/>
  <c r="I99" i="65"/>
  <c r="Q99" i="65" s="1"/>
  <c r="I81" i="65"/>
  <c r="Q81" i="65" s="1"/>
  <c r="H94" i="64"/>
  <c r="H104" i="64"/>
  <c r="H84" i="64"/>
  <c r="H78" i="64"/>
  <c r="H79" i="64" s="1"/>
  <c r="H55" i="64"/>
  <c r="P55" i="64" s="1"/>
  <c r="H184" i="64"/>
  <c r="E65" i="61"/>
  <c r="F58" i="63"/>
  <c r="N196" i="63"/>
  <c r="F196" i="63"/>
  <c r="F64" i="61"/>
  <c r="G57" i="63"/>
  <c r="G80" i="63"/>
  <c r="G81" i="63" s="1"/>
  <c r="O186" i="63"/>
  <c r="G186" i="63"/>
  <c r="F125" i="65"/>
  <c r="N122" i="65"/>
  <c r="N125" i="65" s="1"/>
  <c r="N126" i="65" s="1"/>
  <c r="F110" i="65"/>
  <c r="F18" i="65"/>
  <c r="E18" i="65"/>
  <c r="E110" i="65"/>
  <c r="G48" i="64"/>
  <c r="H30" i="62"/>
  <c r="G38" i="64"/>
  <c r="O164" i="63"/>
  <c r="G29" i="62"/>
  <c r="I18" i="66"/>
  <c r="I124" i="66"/>
  <c r="G133" i="65"/>
  <c r="O130" i="65"/>
  <c r="O133" i="65" s="1"/>
  <c r="O134" i="65" s="1"/>
  <c r="G162" i="65"/>
  <c r="O158" i="65"/>
  <c r="O162" i="65" s="1"/>
  <c r="L160" i="63"/>
  <c r="L165" i="63" s="1"/>
  <c r="L23" i="63" s="1"/>
  <c r="D165" i="63"/>
  <c r="D23" i="63" s="1"/>
  <c r="D227" i="64"/>
  <c r="D26" i="64" s="1"/>
  <c r="L210" i="64"/>
  <c r="L227" i="64" s="1"/>
  <c r="L26" i="64" s="1"/>
  <c r="I97" i="64"/>
  <c r="I107" i="64"/>
  <c r="I87" i="64"/>
  <c r="D49" i="65"/>
  <c r="D13" i="65" s="1"/>
  <c r="L49" i="65"/>
  <c r="L13" i="65" s="1"/>
  <c r="E178" i="66"/>
  <c r="L91" i="63"/>
  <c r="L15" i="63" s="1"/>
  <c r="D91" i="63"/>
  <c r="D15" i="63" s="1"/>
  <c r="D80" i="66"/>
  <c r="D13" i="66" s="1"/>
  <c r="F97" i="64"/>
  <c r="F107" i="64"/>
  <c r="F87" i="64"/>
  <c r="F127" i="64"/>
  <c r="F17" i="64"/>
  <c r="F70" i="66"/>
  <c r="F71" i="66" s="1"/>
  <c r="F124" i="66"/>
  <c r="F18" i="66"/>
  <c r="H121" i="63"/>
  <c r="G94" i="61" s="1"/>
  <c r="H18" i="63"/>
  <c r="H144" i="63"/>
  <c r="P141" i="63"/>
  <c r="P144" i="63" s="1"/>
  <c r="P145" i="63" s="1"/>
  <c r="G108" i="66"/>
  <c r="G16" i="66"/>
  <c r="E84" i="64"/>
  <c r="E94" i="64"/>
  <c r="E104" i="64"/>
  <c r="E78" i="64"/>
  <c r="E79" i="64" s="1"/>
  <c r="E55" i="64"/>
  <c r="M55" i="64" s="1"/>
  <c r="I56" i="63"/>
  <c r="H68" i="61"/>
  <c r="I196" i="63"/>
  <c r="Q196" i="63"/>
  <c r="Q197" i="63" s="1"/>
  <c r="D99" i="64"/>
  <c r="D14" i="64" s="1"/>
  <c r="I36" i="66"/>
  <c r="I50" i="62"/>
  <c r="I150" i="65"/>
  <c r="Q150" i="65" s="1"/>
  <c r="I148" i="66"/>
  <c r="Q148" i="66" s="1"/>
  <c r="Q45" i="66"/>
  <c r="I125" i="65"/>
  <c r="Q122" i="65"/>
  <c r="Q125" i="65" s="1"/>
  <c r="Q126" i="65" s="1"/>
  <c r="H88" i="64"/>
  <c r="H98" i="64"/>
  <c r="H108" i="64"/>
  <c r="F25" i="62"/>
  <c r="E35" i="64"/>
  <c r="M159" i="64"/>
  <c r="M163" i="63"/>
  <c r="E45" i="64"/>
  <c r="E24" i="62"/>
  <c r="F18" i="63"/>
  <c r="F121" i="63"/>
  <c r="E94" i="61" s="1"/>
  <c r="G136" i="63"/>
  <c r="O133" i="63"/>
  <c r="O136" i="63" s="1"/>
  <c r="O137" i="63" s="1"/>
  <c r="G58" i="63"/>
  <c r="F65" i="61"/>
  <c r="D57" i="65"/>
  <c r="D14" i="65" s="1"/>
  <c r="N130" i="65"/>
  <c r="N133" i="65" s="1"/>
  <c r="N134" i="65" s="1"/>
  <c r="F133" i="65"/>
  <c r="N176" i="65"/>
  <c r="E54" i="65"/>
  <c r="M80" i="65"/>
  <c r="E89" i="65"/>
  <c r="M89" i="65" s="1"/>
  <c r="D78" i="61"/>
  <c r="E98" i="65"/>
  <c r="M98" i="65" s="1"/>
  <c r="E133" i="65"/>
  <c r="M130" i="65"/>
  <c r="M133" i="65" s="1"/>
  <c r="M134" i="65" s="1"/>
  <c r="G54" i="65"/>
  <c r="G98" i="65"/>
  <c r="O98" i="65" s="1"/>
  <c r="G89" i="65"/>
  <c r="O89" i="65" s="1"/>
  <c r="G80" i="65"/>
  <c r="O80" i="65" s="1"/>
  <c r="F78" i="61"/>
  <c r="D49" i="64"/>
  <c r="D11" i="64" s="1"/>
  <c r="D11" i="63" s="1"/>
  <c r="L44" i="64"/>
  <c r="L49" i="64" s="1"/>
  <c r="L11" i="64" s="1"/>
  <c r="D163" i="64"/>
  <c r="D21" i="64" s="1"/>
  <c r="L158" i="64"/>
  <c r="L163" i="64" s="1"/>
  <c r="L21" i="64" s="1"/>
  <c r="Q164" i="63"/>
  <c r="I38" i="64"/>
  <c r="I29" i="62"/>
  <c r="I48" i="64"/>
  <c r="M110" i="63"/>
  <c r="D73" i="61"/>
  <c r="I44" i="64"/>
  <c r="I46" i="63" s="1"/>
  <c r="I22" i="62"/>
  <c r="I210" i="64"/>
  <c r="I212" i="63"/>
  <c r="Q160" i="63"/>
  <c r="I34" i="64"/>
  <c r="I36" i="63" s="1"/>
  <c r="I214" i="63"/>
  <c r="Q214" i="63" s="1"/>
  <c r="I225" i="64"/>
  <c r="Q225" i="64" s="1"/>
  <c r="I220" i="64"/>
  <c r="Q220" i="64" s="1"/>
  <c r="I220" i="63"/>
  <c r="Q220" i="63" s="1"/>
  <c r="I212" i="64"/>
  <c r="Q212" i="64" s="1"/>
  <c r="I224" i="64"/>
  <c r="Q224" i="64" s="1"/>
  <c r="I217" i="63"/>
  <c r="Q217" i="63" s="1"/>
  <c r="I222" i="63"/>
  <c r="Q222" i="63" s="1"/>
  <c r="I222" i="64"/>
  <c r="Q222" i="64" s="1"/>
  <c r="I215" i="63"/>
  <c r="Q215" i="63" s="1"/>
  <c r="I219" i="64"/>
  <c r="Q219" i="64" s="1"/>
  <c r="I216" i="64"/>
  <c r="Q216" i="64" s="1"/>
  <c r="I221" i="64"/>
  <c r="Q221" i="64" s="1"/>
  <c r="I213" i="63"/>
  <c r="Q213" i="63" s="1"/>
  <c r="I219" i="63"/>
  <c r="Q219" i="63" s="1"/>
  <c r="I226" i="63"/>
  <c r="Q226" i="63" s="1"/>
  <c r="I211" i="64"/>
  <c r="Q211" i="64" s="1"/>
  <c r="H9" i="61"/>
  <c r="I215" i="64"/>
  <c r="Q215" i="64" s="1"/>
  <c r="I225" i="63"/>
  <c r="Q225" i="63" s="1"/>
  <c r="I221" i="63"/>
  <c r="Q221" i="63" s="1"/>
  <c r="I228" i="63"/>
  <c r="Q228" i="63" s="1"/>
  <c r="I216" i="63"/>
  <c r="Q216" i="63" s="1"/>
  <c r="I223" i="64"/>
  <c r="Q223" i="64" s="1"/>
  <c r="I19" i="62"/>
  <c r="I218" i="63"/>
  <c r="Q218" i="63" s="1"/>
  <c r="I226" i="64"/>
  <c r="Q226" i="64" s="1"/>
  <c r="I218" i="64"/>
  <c r="Q218" i="64" s="1"/>
  <c r="I227" i="63"/>
  <c r="Q227" i="63" s="1"/>
  <c r="I217" i="64"/>
  <c r="Q217" i="64" s="1"/>
  <c r="I213" i="64"/>
  <c r="Q213" i="64" s="1"/>
  <c r="I224" i="63"/>
  <c r="Q224" i="63" s="1"/>
  <c r="I223" i="63"/>
  <c r="Q223" i="63" s="1"/>
  <c r="I214" i="64"/>
  <c r="Q214" i="64" s="1"/>
  <c r="I17" i="64"/>
  <c r="I127" i="64"/>
  <c r="L34" i="66"/>
  <c r="L38" i="66" s="1"/>
  <c r="L10" i="66" s="1"/>
  <c r="D38" i="66"/>
  <c r="D10" i="66" s="1"/>
  <c r="D10" i="65" s="1"/>
  <c r="L96" i="63"/>
  <c r="L101" i="63" s="1"/>
  <c r="L16" i="63" s="1"/>
  <c r="D101" i="63"/>
  <c r="D16" i="63" s="1"/>
  <c r="D89" i="66"/>
  <c r="D14" i="66" s="1"/>
  <c r="F119" i="64"/>
  <c r="F16" i="64"/>
  <c r="F17" i="66"/>
  <c r="F116" i="66"/>
  <c r="H17" i="66"/>
  <c r="H116" i="66"/>
  <c r="H160" i="66"/>
  <c r="H58" i="63"/>
  <c r="G65" i="61"/>
  <c r="H129" i="63"/>
  <c r="G95" i="61" s="1"/>
  <c r="H19" i="63"/>
  <c r="E87" i="64"/>
  <c r="E107" i="64"/>
  <c r="E97" i="64"/>
  <c r="I58" i="63"/>
  <c r="H65" i="61"/>
  <c r="I136" i="63"/>
  <c r="Q133" i="63"/>
  <c r="Q136" i="63" s="1"/>
  <c r="Q137" i="63" s="1"/>
  <c r="I51" i="62"/>
  <c r="I151" i="65"/>
  <c r="Q151" i="65" s="1"/>
  <c r="I37" i="66"/>
  <c r="I149" i="66"/>
  <c r="Q149" i="66" s="1"/>
  <c r="I18" i="65"/>
  <c r="I110" i="65"/>
  <c r="H75" i="61"/>
  <c r="Q176" i="65"/>
  <c r="H56" i="64"/>
  <c r="P56" i="64" s="1"/>
  <c r="E22" i="62"/>
  <c r="M160" i="63"/>
  <c r="E44" i="64"/>
  <c r="E46" i="63" s="1"/>
  <c r="E210" i="64"/>
  <c r="E34" i="64"/>
  <c r="E36" i="63" s="1"/>
  <c r="M36" i="63" s="1"/>
  <c r="E212" i="63"/>
  <c r="E226" i="63"/>
  <c r="M226" i="63" s="1"/>
  <c r="E216" i="64"/>
  <c r="M216" i="64" s="1"/>
  <c r="E213" i="63"/>
  <c r="M213" i="63" s="1"/>
  <c r="E225" i="64"/>
  <c r="M225" i="64" s="1"/>
  <c r="E211" i="64"/>
  <c r="M211" i="64" s="1"/>
  <c r="E222" i="63"/>
  <c r="M222" i="63" s="1"/>
  <c r="E224" i="63"/>
  <c r="M224" i="63" s="1"/>
  <c r="E216" i="63"/>
  <c r="M216" i="63" s="1"/>
  <c r="F23" i="62"/>
  <c r="E224" i="64"/>
  <c r="M224" i="64" s="1"/>
  <c r="E225" i="63"/>
  <c r="M225" i="63" s="1"/>
  <c r="E220" i="63"/>
  <c r="M220" i="63" s="1"/>
  <c r="E221" i="64"/>
  <c r="M221" i="64" s="1"/>
  <c r="E226" i="64"/>
  <c r="M226" i="64" s="1"/>
  <c r="E220" i="64"/>
  <c r="M220" i="64" s="1"/>
  <c r="E223" i="64"/>
  <c r="M223" i="64" s="1"/>
  <c r="E215" i="64"/>
  <c r="M215" i="64" s="1"/>
  <c r="E214" i="63"/>
  <c r="M214" i="63" s="1"/>
  <c r="E213" i="64"/>
  <c r="M213" i="64" s="1"/>
  <c r="D9" i="61"/>
  <c r="E228" i="63"/>
  <c r="M228" i="63" s="1"/>
  <c r="E223" i="63"/>
  <c r="M223" i="63" s="1"/>
  <c r="E19" i="62"/>
  <c r="E214" i="64"/>
  <c r="M214" i="64" s="1"/>
  <c r="E221" i="63"/>
  <c r="M221" i="63" s="1"/>
  <c r="E227" i="63"/>
  <c r="M227" i="63" s="1"/>
  <c r="E219" i="63"/>
  <c r="M219" i="63" s="1"/>
  <c r="E218" i="63"/>
  <c r="M218" i="63" s="1"/>
  <c r="E222" i="64"/>
  <c r="M222" i="64" s="1"/>
  <c r="E212" i="64"/>
  <c r="M212" i="64" s="1"/>
  <c r="E217" i="64"/>
  <c r="M217" i="64" s="1"/>
  <c r="E219" i="64"/>
  <c r="M219" i="64" s="1"/>
  <c r="E217" i="63"/>
  <c r="M217" i="63" s="1"/>
  <c r="E218" i="64"/>
  <c r="M218" i="64" s="1"/>
  <c r="E215" i="63"/>
  <c r="M215" i="63" s="1"/>
  <c r="E67" i="61"/>
  <c r="N99" i="63"/>
  <c r="E66" i="61"/>
  <c r="G56" i="63"/>
  <c r="O97" i="63"/>
  <c r="F68" i="61"/>
  <c r="F67" i="61"/>
  <c r="G149" i="65"/>
  <c r="O149" i="65" s="1"/>
  <c r="G48" i="62"/>
  <c r="G35" i="66"/>
  <c r="G147" i="66"/>
  <c r="O147" i="66" s="1"/>
  <c r="F90" i="65"/>
  <c r="N90" i="65" s="1"/>
  <c r="F99" i="65"/>
  <c r="N99" i="65" s="1"/>
  <c r="F81" i="65"/>
  <c r="N81" i="65" s="1"/>
  <c r="G125" i="65"/>
  <c r="O122" i="65"/>
  <c r="O125" i="65" s="1"/>
  <c r="O126" i="65" s="1"/>
  <c r="L41" i="63"/>
  <c r="D41" i="63"/>
  <c r="D31" i="62"/>
  <c r="C35" i="61" s="1"/>
  <c r="I169" i="66" l="1"/>
  <c r="I23" i="66" s="1"/>
  <c r="O35" i="66"/>
  <c r="G37" i="65"/>
  <c r="O37" i="65" s="1"/>
  <c r="P35" i="66"/>
  <c r="H37" i="65"/>
  <c r="P37" i="65" s="1"/>
  <c r="Q35" i="66"/>
  <c r="I37" i="65"/>
  <c r="Q37" i="65" s="1"/>
  <c r="N36" i="66"/>
  <c r="F38" i="65"/>
  <c r="N38" i="65" s="1"/>
  <c r="Q44" i="66"/>
  <c r="I46" i="65"/>
  <c r="Q46" i="65" s="1"/>
  <c r="N44" i="66"/>
  <c r="F46" i="65"/>
  <c r="N46" i="65" s="1"/>
  <c r="N46" i="66"/>
  <c r="F48" i="65"/>
  <c r="N48" i="65" s="1"/>
  <c r="N49" i="65" s="1"/>
  <c r="P46" i="66"/>
  <c r="H48" i="65"/>
  <c r="P48" i="65" s="1"/>
  <c r="M35" i="66"/>
  <c r="E37" i="65"/>
  <c r="M37" i="65" s="1"/>
  <c r="O44" i="66"/>
  <c r="G46" i="65"/>
  <c r="O46" i="65" s="1"/>
  <c r="Q46" i="66"/>
  <c r="I48" i="65"/>
  <c r="Q48" i="65" s="1"/>
  <c r="Q49" i="65" s="1"/>
  <c r="M46" i="66"/>
  <c r="E48" i="65"/>
  <c r="M48" i="65" s="1"/>
  <c r="P36" i="66"/>
  <c r="H38" i="65"/>
  <c r="P38" i="65" s="1"/>
  <c r="M44" i="66"/>
  <c r="E46" i="65"/>
  <c r="M46" i="65" s="1"/>
  <c r="Q37" i="66"/>
  <c r="I39" i="65"/>
  <c r="Q39" i="65" s="1"/>
  <c r="Q36" i="66"/>
  <c r="I38" i="65"/>
  <c r="Q38" i="65" s="1"/>
  <c r="M36" i="66"/>
  <c r="E38" i="65"/>
  <c r="M38" i="65" s="1"/>
  <c r="M37" i="66"/>
  <c r="E39" i="65"/>
  <c r="M39" i="65" s="1"/>
  <c r="N37" i="66"/>
  <c r="F39" i="65"/>
  <c r="N39" i="65" s="1"/>
  <c r="O37" i="66"/>
  <c r="G39" i="65"/>
  <c r="O39" i="65" s="1"/>
  <c r="O46" i="66"/>
  <c r="G48" i="65"/>
  <c r="O48" i="65" s="1"/>
  <c r="D40" i="65"/>
  <c r="D12" i="65" s="1"/>
  <c r="O36" i="66"/>
  <c r="G38" i="65"/>
  <c r="O38" i="65" s="1"/>
  <c r="P44" i="66"/>
  <c r="H46" i="65"/>
  <c r="P46" i="65" s="1"/>
  <c r="P37" i="66"/>
  <c r="H39" i="65"/>
  <c r="P39" i="65" s="1"/>
  <c r="N35" i="66"/>
  <c r="F37" i="65"/>
  <c r="N37" i="65" s="1"/>
  <c r="I57" i="65"/>
  <c r="I58" i="65" s="1"/>
  <c r="O189" i="65"/>
  <c r="O27" i="65" s="1"/>
  <c r="Q38" i="64"/>
  <c r="I40" i="63"/>
  <c r="Q40" i="63" s="1"/>
  <c r="N47" i="64"/>
  <c r="F49" i="63"/>
  <c r="N49" i="63" s="1"/>
  <c r="Q46" i="64"/>
  <c r="I48" i="63"/>
  <c r="Q48" i="63" s="1"/>
  <c r="O47" i="64"/>
  <c r="G49" i="63"/>
  <c r="O49" i="63" s="1"/>
  <c r="P37" i="64"/>
  <c r="H39" i="63"/>
  <c r="P39" i="63" s="1"/>
  <c r="P36" i="64"/>
  <c r="H38" i="63"/>
  <c r="P38" i="63" s="1"/>
  <c r="P48" i="64"/>
  <c r="H50" i="63"/>
  <c r="P50" i="63" s="1"/>
  <c r="Q47" i="64"/>
  <c r="I49" i="63"/>
  <c r="Q49" i="63" s="1"/>
  <c r="M46" i="64"/>
  <c r="E48" i="63"/>
  <c r="M48" i="63" s="1"/>
  <c r="M35" i="64"/>
  <c r="E37" i="63"/>
  <c r="M37" i="63" s="1"/>
  <c r="N48" i="64"/>
  <c r="F50" i="63"/>
  <c r="N50" i="63" s="1"/>
  <c r="Q37" i="64"/>
  <c r="I39" i="63"/>
  <c r="Q39" i="63" s="1"/>
  <c r="M48" i="64"/>
  <c r="E50" i="63"/>
  <c r="M50" i="63" s="1"/>
  <c r="N35" i="64"/>
  <c r="F37" i="63"/>
  <c r="N37" i="63" s="1"/>
  <c r="O35" i="64"/>
  <c r="G37" i="63"/>
  <c r="O37" i="63" s="1"/>
  <c r="O41" i="63" s="1"/>
  <c r="I41" i="63"/>
  <c r="Q36" i="63"/>
  <c r="O38" i="64"/>
  <c r="G40" i="63"/>
  <c r="O40" i="63" s="1"/>
  <c r="O36" i="64"/>
  <c r="G38" i="63"/>
  <c r="O38" i="63" s="1"/>
  <c r="Q35" i="64"/>
  <c r="I37" i="63"/>
  <c r="Q37" i="63" s="1"/>
  <c r="P45" i="64"/>
  <c r="H47" i="63"/>
  <c r="P47" i="63" s="1"/>
  <c r="P46" i="64"/>
  <c r="H48" i="63"/>
  <c r="P48" i="63" s="1"/>
  <c r="O37" i="64"/>
  <c r="G39" i="63"/>
  <c r="O39" i="63" s="1"/>
  <c r="N45" i="64"/>
  <c r="F47" i="63"/>
  <c r="N47" i="63" s="1"/>
  <c r="M47" i="64"/>
  <c r="E49" i="63"/>
  <c r="M49" i="63" s="1"/>
  <c r="Q48" i="64"/>
  <c r="I50" i="63"/>
  <c r="Q50" i="63" s="1"/>
  <c r="P38" i="64"/>
  <c r="H40" i="63"/>
  <c r="P40" i="63" s="1"/>
  <c r="Q45" i="64"/>
  <c r="I47" i="63"/>
  <c r="Q47" i="63" s="1"/>
  <c r="P47" i="64"/>
  <c r="H49" i="63"/>
  <c r="P49" i="63" s="1"/>
  <c r="M36" i="64"/>
  <c r="E38" i="63"/>
  <c r="M38" i="63" s="1"/>
  <c r="N46" i="64"/>
  <c r="F48" i="63"/>
  <c r="N48" i="63" s="1"/>
  <c r="M45" i="64"/>
  <c r="E47" i="63"/>
  <c r="M47" i="63" s="1"/>
  <c r="O48" i="64"/>
  <c r="G50" i="63"/>
  <c r="O50" i="63" s="1"/>
  <c r="N38" i="64"/>
  <c r="F40" i="63"/>
  <c r="N40" i="63" s="1"/>
  <c r="M38" i="64"/>
  <c r="E40" i="63"/>
  <c r="M40" i="63" s="1"/>
  <c r="N36" i="64"/>
  <c r="F38" i="63"/>
  <c r="N38" i="63" s="1"/>
  <c r="N37" i="64"/>
  <c r="F39" i="63"/>
  <c r="N39" i="63" s="1"/>
  <c r="Q36" i="64"/>
  <c r="I38" i="63"/>
  <c r="Q38" i="63" s="1"/>
  <c r="O46" i="64"/>
  <c r="G48" i="63"/>
  <c r="O48" i="63" s="1"/>
  <c r="O45" i="64"/>
  <c r="G47" i="63"/>
  <c r="O47" i="63" s="1"/>
  <c r="P35" i="64"/>
  <c r="H37" i="63"/>
  <c r="P37" i="63" s="1"/>
  <c r="P41" i="63" s="1"/>
  <c r="M37" i="64"/>
  <c r="E39" i="63"/>
  <c r="M39" i="63" s="1"/>
  <c r="I178" i="66"/>
  <c r="I24" i="66" s="1"/>
  <c r="G178" i="66"/>
  <c r="D13" i="63"/>
  <c r="D12" i="63"/>
  <c r="L12" i="63"/>
  <c r="L13" i="63"/>
  <c r="M189" i="65"/>
  <c r="P27" i="65"/>
  <c r="P190" i="65"/>
  <c r="Q27" i="65"/>
  <c r="H169" i="66"/>
  <c r="H23" i="66" s="1"/>
  <c r="F178" i="66"/>
  <c r="F24" i="66" s="1"/>
  <c r="F189" i="65"/>
  <c r="F27" i="65" s="1"/>
  <c r="N186" i="65"/>
  <c r="N189" i="65" s="1"/>
  <c r="E169" i="66"/>
  <c r="E23" i="66" s="1"/>
  <c r="M171" i="65"/>
  <c r="O171" i="65"/>
  <c r="O172" i="65" s="1"/>
  <c r="Q162" i="65"/>
  <c r="H162" i="65"/>
  <c r="H24" i="65" s="1"/>
  <c r="P162" i="65"/>
  <c r="P163" i="65" s="1"/>
  <c r="Q180" i="65"/>
  <c r="O159" i="64"/>
  <c r="O161" i="64"/>
  <c r="H187" i="66"/>
  <c r="E189" i="65"/>
  <c r="E190" i="65" s="1"/>
  <c r="M162" i="65"/>
  <c r="M24" i="65" s="1"/>
  <c r="E162" i="65"/>
  <c r="E24" i="65" s="1"/>
  <c r="E180" i="65"/>
  <c r="E181" i="65" s="1"/>
  <c r="M180" i="65"/>
  <c r="M26" i="65" s="1"/>
  <c r="I189" i="65"/>
  <c r="I190" i="65" s="1"/>
  <c r="G169" i="66"/>
  <c r="G23" i="66" s="1"/>
  <c r="H171" i="65"/>
  <c r="N171" i="65"/>
  <c r="N25" i="65" s="1"/>
  <c r="P171" i="65"/>
  <c r="P25" i="65" s="1"/>
  <c r="N162" i="65"/>
  <c r="N163" i="65" s="1"/>
  <c r="F171" i="65"/>
  <c r="F25" i="65" s="1"/>
  <c r="H180" i="65"/>
  <c r="H26" i="65" s="1"/>
  <c r="P180" i="65"/>
  <c r="P26" i="65" s="1"/>
  <c r="E171" i="65"/>
  <c r="E25" i="65" s="1"/>
  <c r="G160" i="66"/>
  <c r="G22" i="66" s="1"/>
  <c r="H178" i="66"/>
  <c r="H179" i="66" s="1"/>
  <c r="F162" i="65"/>
  <c r="F24" i="65" s="1"/>
  <c r="P161" i="64"/>
  <c r="N160" i="64"/>
  <c r="H189" i="65"/>
  <c r="H190" i="65" s="1"/>
  <c r="G187" i="66"/>
  <c r="G25" i="66" s="1"/>
  <c r="E187" i="66"/>
  <c r="E25" i="66" s="1"/>
  <c r="I160" i="66"/>
  <c r="I22" i="66" s="1"/>
  <c r="G189" i="65"/>
  <c r="G190" i="65" s="1"/>
  <c r="I205" i="64"/>
  <c r="N162" i="64"/>
  <c r="P162" i="64"/>
  <c r="O162" i="64"/>
  <c r="N207" i="63"/>
  <c r="I171" i="65"/>
  <c r="I25" i="65" s="1"/>
  <c r="Q171" i="65"/>
  <c r="Q25" i="65" s="1"/>
  <c r="F180" i="65"/>
  <c r="F181" i="65" s="1"/>
  <c r="N180" i="65"/>
  <c r="G180" i="65"/>
  <c r="G26" i="65" s="1"/>
  <c r="O180" i="65"/>
  <c r="O181" i="65" s="1"/>
  <c r="I180" i="65"/>
  <c r="I181" i="65" s="1"/>
  <c r="I91" i="63"/>
  <c r="O27" i="63"/>
  <c r="O207" i="63"/>
  <c r="M27" i="63"/>
  <c r="M207" i="63"/>
  <c r="P27" i="63"/>
  <c r="P207" i="63"/>
  <c r="I80" i="66"/>
  <c r="D80" i="61"/>
  <c r="E152" i="64"/>
  <c r="E153" i="64" s="1"/>
  <c r="F140" i="66"/>
  <c r="F20" i="66" s="1"/>
  <c r="I179" i="66"/>
  <c r="E27" i="63"/>
  <c r="I152" i="64"/>
  <c r="I20" i="64" s="1"/>
  <c r="F86" i="61"/>
  <c r="I170" i="66"/>
  <c r="H57" i="65"/>
  <c r="H14" i="65" s="1"/>
  <c r="E59" i="63"/>
  <c r="E60" i="63" s="1"/>
  <c r="F152" i="64"/>
  <c r="F153" i="64" s="1"/>
  <c r="G195" i="64"/>
  <c r="G89" i="64"/>
  <c r="G90" i="64" s="1"/>
  <c r="G57" i="65"/>
  <c r="G14" i="65" s="1"/>
  <c r="E31" i="62"/>
  <c r="D35" i="61" s="1"/>
  <c r="G59" i="63"/>
  <c r="G14" i="63" s="1"/>
  <c r="F57" i="65"/>
  <c r="F58" i="65" s="1"/>
  <c r="E80" i="66"/>
  <c r="E81" i="66" s="1"/>
  <c r="I99" i="64"/>
  <c r="I100" i="64" s="1"/>
  <c r="G152" i="64"/>
  <c r="G20" i="64" s="1"/>
  <c r="G89" i="66"/>
  <c r="G14" i="66" s="1"/>
  <c r="G86" i="61"/>
  <c r="F89" i="66"/>
  <c r="F90" i="66" s="1"/>
  <c r="H89" i="64"/>
  <c r="H13" i="64" s="1"/>
  <c r="E86" i="61"/>
  <c r="G20" i="63"/>
  <c r="G137" i="63"/>
  <c r="F96" i="61" s="1"/>
  <c r="F170" i="66"/>
  <c r="F23" i="66"/>
  <c r="M155" i="63"/>
  <c r="E165" i="63"/>
  <c r="M165" i="63"/>
  <c r="E55" i="66"/>
  <c r="M52" i="66"/>
  <c r="M55" i="66" s="1"/>
  <c r="H21" i="65"/>
  <c r="H134" i="65"/>
  <c r="F27" i="63"/>
  <c r="F207" i="63"/>
  <c r="E140" i="66"/>
  <c r="I140" i="66"/>
  <c r="E99" i="64"/>
  <c r="F80" i="61"/>
  <c r="H185" i="64"/>
  <c r="H23" i="64"/>
  <c r="H20" i="63"/>
  <c r="H137" i="63"/>
  <c r="G96" i="61" s="1"/>
  <c r="E26" i="63"/>
  <c r="E197" i="63"/>
  <c r="G109" i="64"/>
  <c r="N41" i="63"/>
  <c r="F41" i="63"/>
  <c r="F12" i="63" s="1"/>
  <c r="N46" i="63"/>
  <c r="P155" i="63"/>
  <c r="H39" i="64"/>
  <c r="P34" i="64"/>
  <c r="P78" i="65"/>
  <c r="P82" i="65" s="1"/>
  <c r="H82" i="65"/>
  <c r="I109" i="64"/>
  <c r="O78" i="65"/>
  <c r="O82" i="65" s="1"/>
  <c r="G82" i="65"/>
  <c r="G229" i="63"/>
  <c r="O212" i="63"/>
  <c r="O229" i="63" s="1"/>
  <c r="H47" i="66"/>
  <c r="P43" i="66"/>
  <c r="N87" i="65"/>
  <c r="N91" i="65" s="1"/>
  <c r="F91" i="65"/>
  <c r="I24" i="65"/>
  <c r="I163" i="65"/>
  <c r="E161" i="66"/>
  <c r="E22" i="66"/>
  <c r="G175" i="64"/>
  <c r="G22" i="64"/>
  <c r="H89" i="66"/>
  <c r="Q86" i="63"/>
  <c r="Q91" i="63" s="1"/>
  <c r="P177" i="63"/>
  <c r="P24" i="63"/>
  <c r="N195" i="65"/>
  <c r="N212" i="65" s="1"/>
  <c r="F212" i="65"/>
  <c r="M25" i="63"/>
  <c r="M187" i="63"/>
  <c r="G23" i="64"/>
  <c r="G185" i="64"/>
  <c r="O52" i="66"/>
  <c r="O55" i="66" s="1"/>
  <c r="G55" i="66"/>
  <c r="I24" i="64"/>
  <c r="I195" i="64"/>
  <c r="I12" i="63"/>
  <c r="Q44" i="64"/>
  <c r="Q49" i="64" s="1"/>
  <c r="I49" i="64"/>
  <c r="E109" i="64"/>
  <c r="F25" i="66"/>
  <c r="F188" i="66"/>
  <c r="E20" i="63"/>
  <c r="E137" i="63"/>
  <c r="D96" i="61" s="1"/>
  <c r="M26" i="63"/>
  <c r="M197" i="63"/>
  <c r="E39" i="64"/>
  <c r="M34" i="64"/>
  <c r="M39" i="64" s="1"/>
  <c r="M41" i="63"/>
  <c r="E41" i="63"/>
  <c r="E12" i="63" s="1"/>
  <c r="Q165" i="63"/>
  <c r="I165" i="63"/>
  <c r="E57" i="65"/>
  <c r="E89" i="64"/>
  <c r="O96" i="63"/>
  <c r="O101" i="63" s="1"/>
  <c r="G101" i="63"/>
  <c r="L29" i="65"/>
  <c r="G24" i="66"/>
  <c r="G179" i="66"/>
  <c r="F31" i="62"/>
  <c r="I23" i="64"/>
  <c r="I185" i="64"/>
  <c r="P143" i="65"/>
  <c r="H163" i="64"/>
  <c r="P158" i="64"/>
  <c r="H152" i="64"/>
  <c r="P96" i="65"/>
  <c r="P100" i="65" s="1"/>
  <c r="H100" i="65"/>
  <c r="M148" i="65"/>
  <c r="M152" i="65" s="1"/>
  <c r="E152" i="65"/>
  <c r="I89" i="64"/>
  <c r="O143" i="65"/>
  <c r="O158" i="64"/>
  <c r="G163" i="64"/>
  <c r="P49" i="65"/>
  <c r="H210" i="66"/>
  <c r="P193" i="66"/>
  <c r="P210" i="66" s="1"/>
  <c r="N96" i="65"/>
  <c r="N100" i="65" s="1"/>
  <c r="F100" i="65"/>
  <c r="F145" i="63"/>
  <c r="E97" i="61" s="1"/>
  <c r="F21" i="63"/>
  <c r="E145" i="63"/>
  <c r="D97" i="61" s="1"/>
  <c r="E21" i="63"/>
  <c r="I98" i="66"/>
  <c r="G53" i="62"/>
  <c r="I21" i="65"/>
  <c r="I134" i="65"/>
  <c r="G80" i="66"/>
  <c r="F57" i="64"/>
  <c r="N54" i="64"/>
  <c r="N57" i="64" s="1"/>
  <c r="H172" i="65"/>
  <c r="H25" i="65"/>
  <c r="Q34" i="66"/>
  <c r="I38" i="66"/>
  <c r="H80" i="61"/>
  <c r="H24" i="63"/>
  <c r="H177" i="63"/>
  <c r="F152" i="65"/>
  <c r="N148" i="65"/>
  <c r="N152" i="65" s="1"/>
  <c r="I25" i="66"/>
  <c r="I188" i="66"/>
  <c r="I207" i="63"/>
  <c r="I27" i="63"/>
  <c r="H24" i="64"/>
  <c r="H195" i="64"/>
  <c r="Q193" i="66"/>
  <c r="Q210" i="66" s="1"/>
  <c r="I210" i="66"/>
  <c r="I137" i="63"/>
  <c r="H96" i="61" s="1"/>
  <c r="I20" i="63"/>
  <c r="Q155" i="63"/>
  <c r="I229" i="63"/>
  <c r="Q212" i="63"/>
  <c r="Q229" i="63" s="1"/>
  <c r="I126" i="65"/>
  <c r="I20" i="65"/>
  <c r="O163" i="65"/>
  <c r="O24" i="65"/>
  <c r="F126" i="65"/>
  <c r="F20" i="65"/>
  <c r="G91" i="63"/>
  <c r="O86" i="63"/>
  <c r="O91" i="63" s="1"/>
  <c r="H25" i="63"/>
  <c r="H187" i="63"/>
  <c r="G57" i="64"/>
  <c r="O54" i="64"/>
  <c r="O57" i="64" s="1"/>
  <c r="G24" i="63"/>
  <c r="G177" i="63"/>
  <c r="E205" i="64"/>
  <c r="E25" i="64"/>
  <c r="F22" i="66"/>
  <c r="F161" i="66"/>
  <c r="E170" i="66"/>
  <c r="F24" i="63"/>
  <c r="F177" i="63"/>
  <c r="E175" i="64"/>
  <c r="E22" i="64"/>
  <c r="N155" i="63"/>
  <c r="E89" i="66"/>
  <c r="H227" i="64"/>
  <c r="P210" i="64"/>
  <c r="P227" i="64" s="1"/>
  <c r="M146" i="66"/>
  <c r="M150" i="66" s="1"/>
  <c r="E150" i="66"/>
  <c r="G25" i="64"/>
  <c r="G205" i="64"/>
  <c r="E177" i="63"/>
  <c r="E24" i="63"/>
  <c r="G49" i="64"/>
  <c r="O44" i="64"/>
  <c r="G31" i="62"/>
  <c r="P148" i="65"/>
  <c r="P152" i="65" s="1"/>
  <c r="H152" i="65"/>
  <c r="E185" i="64"/>
  <c r="E23" i="64"/>
  <c r="H26" i="63"/>
  <c r="H197" i="63"/>
  <c r="H126" i="65"/>
  <c r="H20" i="65"/>
  <c r="I89" i="66"/>
  <c r="O195" i="65"/>
  <c r="O212" i="65" s="1"/>
  <c r="G212" i="65"/>
  <c r="O40" i="65"/>
  <c r="E195" i="64"/>
  <c r="E24" i="64"/>
  <c r="G98" i="66"/>
  <c r="H25" i="66"/>
  <c r="H188" i="66"/>
  <c r="D86" i="61"/>
  <c r="G26" i="63"/>
  <c r="G197" i="63"/>
  <c r="Q146" i="66"/>
  <c r="Q150" i="66" s="1"/>
  <c r="I150" i="66"/>
  <c r="Q148" i="65"/>
  <c r="Q152" i="65" s="1"/>
  <c r="Q153" i="65" s="1"/>
  <c r="I152" i="65"/>
  <c r="E57" i="64"/>
  <c r="M54" i="64"/>
  <c r="M57" i="64" s="1"/>
  <c r="G80" i="61"/>
  <c r="N40" i="65"/>
  <c r="F53" i="62"/>
  <c r="F26" i="65"/>
  <c r="F49" i="64"/>
  <c r="N44" i="64"/>
  <c r="N49" i="64" s="1"/>
  <c r="P87" i="65"/>
  <c r="P91" i="65" s="1"/>
  <c r="H91" i="65"/>
  <c r="Q40" i="65"/>
  <c r="I111" i="63"/>
  <c r="I112" i="63" s="1"/>
  <c r="Q106" i="63"/>
  <c r="Q111" i="63" s="1"/>
  <c r="Q52" i="66"/>
  <c r="Q55" i="66" s="1"/>
  <c r="Q56" i="66" s="1"/>
  <c r="I55" i="66"/>
  <c r="M143" i="65"/>
  <c r="E163" i="64"/>
  <c r="M158" i="64"/>
  <c r="M163" i="64" s="1"/>
  <c r="Q143" i="65"/>
  <c r="Q46" i="63"/>
  <c r="E21" i="65"/>
  <c r="E134" i="65"/>
  <c r="F21" i="65"/>
  <c r="F134" i="65"/>
  <c r="I59" i="63"/>
  <c r="F80" i="66"/>
  <c r="G163" i="65"/>
  <c r="G24" i="65"/>
  <c r="G187" i="63"/>
  <c r="G25" i="63"/>
  <c r="F197" i="63"/>
  <c r="F26" i="63"/>
  <c r="H109" i="64"/>
  <c r="P25" i="63"/>
  <c r="P187" i="63"/>
  <c r="M87" i="65"/>
  <c r="M91" i="65" s="1"/>
  <c r="E91" i="65"/>
  <c r="O177" i="63"/>
  <c r="O24" i="63"/>
  <c r="F59" i="63"/>
  <c r="F99" i="64"/>
  <c r="P24" i="65"/>
  <c r="N172" i="65"/>
  <c r="N25" i="63"/>
  <c r="N187" i="63"/>
  <c r="Q172" i="65"/>
  <c r="F39" i="64"/>
  <c r="N34" i="64"/>
  <c r="N39" i="64" s="1"/>
  <c r="N210" i="64"/>
  <c r="N227" i="64" s="1"/>
  <c r="F227" i="64"/>
  <c r="E98" i="66"/>
  <c r="P44" i="64"/>
  <c r="H49" i="64"/>
  <c r="H31" i="62"/>
  <c r="E53" i="62"/>
  <c r="M177" i="63"/>
  <c r="M24" i="63"/>
  <c r="L27" i="64"/>
  <c r="O155" i="63"/>
  <c r="G140" i="66"/>
  <c r="P34" i="66"/>
  <c r="P38" i="66" s="1"/>
  <c r="H38" i="66"/>
  <c r="H53" i="62"/>
  <c r="N96" i="63"/>
  <c r="N101" i="63" s="1"/>
  <c r="F101" i="63"/>
  <c r="P197" i="63"/>
  <c r="P26" i="63"/>
  <c r="F185" i="64"/>
  <c r="F23" i="64"/>
  <c r="I175" i="64"/>
  <c r="I22" i="64"/>
  <c r="O49" i="65"/>
  <c r="G49" i="65"/>
  <c r="G13" i="65" s="1"/>
  <c r="G210" i="66"/>
  <c r="O193" i="66"/>
  <c r="O210" i="66" s="1"/>
  <c r="E91" i="63"/>
  <c r="M86" i="63"/>
  <c r="M91" i="63" s="1"/>
  <c r="E126" i="65"/>
  <c r="E20" i="65"/>
  <c r="O26" i="63"/>
  <c r="O197" i="63"/>
  <c r="Q195" i="65"/>
  <c r="Q212" i="65" s="1"/>
  <c r="Q213" i="65" s="1"/>
  <c r="I212" i="65"/>
  <c r="I53" i="62"/>
  <c r="I55" i="62" s="1"/>
  <c r="F150" i="66"/>
  <c r="N146" i="66"/>
  <c r="N150" i="66" s="1"/>
  <c r="O106" i="63"/>
  <c r="O111" i="63" s="1"/>
  <c r="G111" i="63"/>
  <c r="N177" i="63"/>
  <c r="N24" i="63"/>
  <c r="G165" i="63"/>
  <c r="O165" i="63"/>
  <c r="G38" i="66"/>
  <c r="O34" i="66"/>
  <c r="O38" i="66" s="1"/>
  <c r="I145" i="63"/>
  <c r="H97" i="61" s="1"/>
  <c r="I21" i="63"/>
  <c r="M210" i="64"/>
  <c r="M227" i="64" s="1"/>
  <c r="E227" i="64"/>
  <c r="Q181" i="65"/>
  <c r="Q26" i="65"/>
  <c r="M212" i="63"/>
  <c r="M229" i="63" s="1"/>
  <c r="E229" i="63"/>
  <c r="E49" i="64"/>
  <c r="M44" i="64"/>
  <c r="M49" i="64" s="1"/>
  <c r="I163" i="64"/>
  <c r="Q158" i="64"/>
  <c r="Q163" i="64" s="1"/>
  <c r="I227" i="64"/>
  <c r="Q210" i="64"/>
  <c r="Q227" i="64" s="1"/>
  <c r="H145" i="63"/>
  <c r="G97" i="61" s="1"/>
  <c r="H21" i="63"/>
  <c r="F98" i="66"/>
  <c r="O187" i="63"/>
  <c r="O25" i="63"/>
  <c r="N197" i="63"/>
  <c r="N26" i="63"/>
  <c r="H99" i="64"/>
  <c r="E100" i="65"/>
  <c r="M96" i="65"/>
  <c r="M100" i="65" s="1"/>
  <c r="H25" i="64"/>
  <c r="H205" i="64"/>
  <c r="Q25" i="63"/>
  <c r="F109" i="64"/>
  <c r="F187" i="63"/>
  <c r="F25" i="63"/>
  <c r="Q24" i="63"/>
  <c r="Q177" i="63"/>
  <c r="N165" i="63"/>
  <c r="F165" i="63"/>
  <c r="N212" i="63"/>
  <c r="N229" i="63" s="1"/>
  <c r="F229" i="63"/>
  <c r="H140" i="66"/>
  <c r="E40" i="65"/>
  <c r="E12" i="65" s="1"/>
  <c r="M40" i="65"/>
  <c r="M43" i="66"/>
  <c r="M47" i="66" s="1"/>
  <c r="E47" i="66"/>
  <c r="O25" i="65"/>
  <c r="O46" i="63"/>
  <c r="H212" i="65"/>
  <c r="P195" i="65"/>
  <c r="P212" i="65" s="1"/>
  <c r="E80" i="61"/>
  <c r="G47" i="66"/>
  <c r="O43" i="66"/>
  <c r="O47" i="66" s="1"/>
  <c r="G27" i="63"/>
  <c r="G207" i="63"/>
  <c r="H22" i="64"/>
  <c r="H175" i="64"/>
  <c r="I100" i="65"/>
  <c r="Q96" i="65"/>
  <c r="Q100" i="65" s="1"/>
  <c r="Q101" i="65" s="1"/>
  <c r="F22" i="64"/>
  <c r="F175" i="64"/>
  <c r="M96" i="63"/>
  <c r="M101" i="63" s="1"/>
  <c r="E101" i="63"/>
  <c r="Q43" i="66"/>
  <c r="I47" i="66"/>
  <c r="H91" i="63"/>
  <c r="P86" i="63"/>
  <c r="P91" i="63" s="1"/>
  <c r="N34" i="66"/>
  <c r="F38" i="66"/>
  <c r="M49" i="65"/>
  <c r="E49" i="65"/>
  <c r="E13" i="65" s="1"/>
  <c r="N78" i="65"/>
  <c r="N82" i="65" s="1"/>
  <c r="F82" i="65"/>
  <c r="N193" i="66"/>
  <c r="N210" i="66" s="1"/>
  <c r="F210" i="66"/>
  <c r="G20" i="65"/>
  <c r="G126" i="65"/>
  <c r="M46" i="63"/>
  <c r="H161" i="66"/>
  <c r="H22" i="66"/>
  <c r="L27" i="66"/>
  <c r="Q34" i="64"/>
  <c r="Q39" i="64" s="1"/>
  <c r="I39" i="64"/>
  <c r="I31" i="62"/>
  <c r="Q26" i="63"/>
  <c r="P52" i="66"/>
  <c r="P55" i="66" s="1"/>
  <c r="H55" i="66"/>
  <c r="E179" i="66"/>
  <c r="E24" i="66"/>
  <c r="G134" i="65"/>
  <c r="G21" i="65"/>
  <c r="M78" i="65"/>
  <c r="M82" i="65" s="1"/>
  <c r="E82" i="65"/>
  <c r="G21" i="63"/>
  <c r="G145" i="63"/>
  <c r="F97" i="61" s="1"/>
  <c r="I187" i="63"/>
  <c r="I25" i="63"/>
  <c r="H59" i="63"/>
  <c r="F195" i="64"/>
  <c r="F24" i="64"/>
  <c r="F89" i="64"/>
  <c r="I57" i="64"/>
  <c r="Q54" i="64"/>
  <c r="Q57" i="64" s="1"/>
  <c r="G99" i="64"/>
  <c r="I24" i="63"/>
  <c r="I177" i="63"/>
  <c r="P46" i="63"/>
  <c r="P51" i="63" s="1"/>
  <c r="H51" i="63"/>
  <c r="H13" i="63" s="1"/>
  <c r="E38" i="66"/>
  <c r="M34" i="66"/>
  <c r="M38" i="66" s="1"/>
  <c r="E210" i="66"/>
  <c r="M193" i="66"/>
  <c r="M210" i="66" s="1"/>
  <c r="G172" i="65"/>
  <c r="G25" i="65"/>
  <c r="G100" i="65"/>
  <c r="O96" i="65"/>
  <c r="O100" i="65" s="1"/>
  <c r="G41" i="63"/>
  <c r="G12" i="63" s="1"/>
  <c r="P146" i="66"/>
  <c r="P150" i="66" s="1"/>
  <c r="H150" i="66"/>
  <c r="F111" i="63"/>
  <c r="N106" i="63"/>
  <c r="N111" i="63" s="1"/>
  <c r="P54" i="64"/>
  <c r="P57" i="64" s="1"/>
  <c r="H57" i="64"/>
  <c r="G150" i="66"/>
  <c r="O146" i="66"/>
  <c r="O150" i="66" s="1"/>
  <c r="Q78" i="65"/>
  <c r="Q82" i="65" s="1"/>
  <c r="Q83" i="65" s="1"/>
  <c r="I82" i="65"/>
  <c r="H207" i="63"/>
  <c r="H27" i="63"/>
  <c r="H98" i="66"/>
  <c r="E111" i="63"/>
  <c r="M106" i="63"/>
  <c r="M111" i="63" s="1"/>
  <c r="H86" i="61"/>
  <c r="H101" i="63"/>
  <c r="P96" i="63"/>
  <c r="P101" i="63" s="1"/>
  <c r="N52" i="66"/>
  <c r="N55" i="66" s="1"/>
  <c r="F55" i="66"/>
  <c r="I26" i="63"/>
  <c r="I197" i="63"/>
  <c r="F205" i="64"/>
  <c r="F25" i="64"/>
  <c r="N143" i="65"/>
  <c r="N158" i="64"/>
  <c r="F163" i="64"/>
  <c r="H229" i="63"/>
  <c r="P212" i="63"/>
  <c r="P229" i="63" s="1"/>
  <c r="H165" i="63"/>
  <c r="P165" i="63"/>
  <c r="E212" i="65"/>
  <c r="M195" i="65"/>
  <c r="M212" i="65" s="1"/>
  <c r="M213" i="65" s="1"/>
  <c r="O87" i="65"/>
  <c r="O91" i="65" s="1"/>
  <c r="G91" i="65"/>
  <c r="G227" i="64"/>
  <c r="O210" i="64"/>
  <c r="O227" i="64" s="1"/>
  <c r="G39" i="64"/>
  <c r="O34" i="64"/>
  <c r="O39" i="64" s="1"/>
  <c r="H40" i="65"/>
  <c r="H12" i="65" s="1"/>
  <c r="P40" i="65"/>
  <c r="F91" i="63"/>
  <c r="N86" i="63"/>
  <c r="N91" i="63" s="1"/>
  <c r="Q163" i="65"/>
  <c r="Q24" i="65"/>
  <c r="D107" i="61"/>
  <c r="M25" i="65"/>
  <c r="M172" i="65"/>
  <c r="O148" i="65"/>
  <c r="O152" i="65" s="1"/>
  <c r="G152" i="65"/>
  <c r="F20" i="63"/>
  <c r="F137" i="63"/>
  <c r="E96" i="61" s="1"/>
  <c r="I91" i="65"/>
  <c r="Q87" i="65"/>
  <c r="Q91" i="65" s="1"/>
  <c r="Q92" i="65" s="1"/>
  <c r="H80" i="66"/>
  <c r="I101" i="63"/>
  <c r="Q96" i="63"/>
  <c r="Q101" i="63" s="1"/>
  <c r="P106" i="63"/>
  <c r="P111" i="63" s="1"/>
  <c r="H111" i="63"/>
  <c r="N43" i="66"/>
  <c r="F47" i="66"/>
  <c r="E25" i="63"/>
  <c r="E187" i="63"/>
  <c r="O190" i="65" l="1"/>
  <c r="F190" i="65"/>
  <c r="I40" i="65"/>
  <c r="I12" i="65" s="1"/>
  <c r="Q47" i="66"/>
  <c r="Q11" i="66" s="1"/>
  <c r="Q38" i="66"/>
  <c r="Q10" i="66" s="1"/>
  <c r="F40" i="65"/>
  <c r="F12" i="65" s="1"/>
  <c r="G40" i="65"/>
  <c r="G12" i="65" s="1"/>
  <c r="N47" i="66"/>
  <c r="N38" i="66"/>
  <c r="F49" i="65"/>
  <c r="F13" i="65" s="1"/>
  <c r="I49" i="65"/>
  <c r="I13" i="65" s="1"/>
  <c r="P47" i="66"/>
  <c r="P11" i="66" s="1"/>
  <c r="H49" i="65"/>
  <c r="H13" i="65" s="1"/>
  <c r="H181" i="65"/>
  <c r="H27" i="65"/>
  <c r="I26" i="65"/>
  <c r="M27" i="65"/>
  <c r="M190" i="65"/>
  <c r="M181" i="65"/>
  <c r="E27" i="65"/>
  <c r="N26" i="65"/>
  <c r="N181" i="65"/>
  <c r="O49" i="64"/>
  <c r="P39" i="64"/>
  <c r="M51" i="63"/>
  <c r="M52" i="63" s="1"/>
  <c r="P49" i="64"/>
  <c r="I51" i="63"/>
  <c r="I13" i="63" s="1"/>
  <c r="E51" i="63"/>
  <c r="E13" i="63" s="1"/>
  <c r="O51" i="63"/>
  <c r="O13" i="63" s="1"/>
  <c r="Q51" i="63"/>
  <c r="H41" i="63"/>
  <c r="H12" i="63" s="1"/>
  <c r="F51" i="63"/>
  <c r="F13" i="63" s="1"/>
  <c r="G51" i="63"/>
  <c r="G13" i="63" s="1"/>
  <c r="N51" i="63"/>
  <c r="N13" i="63" s="1"/>
  <c r="Q41" i="63"/>
  <c r="Q42" i="63" s="1"/>
  <c r="M50" i="65"/>
  <c r="M13" i="65"/>
  <c r="N50" i="65"/>
  <c r="N13" i="65"/>
  <c r="P50" i="65"/>
  <c r="P13" i="65"/>
  <c r="L29" i="63"/>
  <c r="O50" i="65"/>
  <c r="O13" i="65"/>
  <c r="Q50" i="65"/>
  <c r="Q13" i="65"/>
  <c r="P41" i="65"/>
  <c r="P12" i="65"/>
  <c r="M41" i="65"/>
  <c r="M12" i="65"/>
  <c r="Q41" i="65"/>
  <c r="Q12" i="65"/>
  <c r="N41" i="65"/>
  <c r="N12" i="65"/>
  <c r="O41" i="65"/>
  <c r="O12" i="65"/>
  <c r="F179" i="66"/>
  <c r="Q12" i="63"/>
  <c r="N42" i="63"/>
  <c r="N12" i="63"/>
  <c r="M42" i="63"/>
  <c r="M12" i="63"/>
  <c r="P42" i="63"/>
  <c r="P12" i="63"/>
  <c r="O42" i="63"/>
  <c r="O12" i="63"/>
  <c r="N52" i="63"/>
  <c r="O52" i="63"/>
  <c r="M13" i="63"/>
  <c r="P52" i="63"/>
  <c r="P13" i="63"/>
  <c r="Q52" i="63"/>
  <c r="Q13" i="63"/>
  <c r="E163" i="65"/>
  <c r="H163" i="65"/>
  <c r="H170" i="66"/>
  <c r="N27" i="65"/>
  <c r="N190" i="65"/>
  <c r="G27" i="65"/>
  <c r="I27" i="65"/>
  <c r="M163" i="65"/>
  <c r="F172" i="65"/>
  <c r="E26" i="65"/>
  <c r="N163" i="64"/>
  <c r="N21" i="64" s="1"/>
  <c r="O26" i="65"/>
  <c r="N24" i="65"/>
  <c r="O163" i="64"/>
  <c r="O21" i="64" s="1"/>
  <c r="G188" i="66"/>
  <c r="E172" i="65"/>
  <c r="G161" i="66"/>
  <c r="I161" i="66"/>
  <c r="G170" i="66"/>
  <c r="H24" i="66"/>
  <c r="P172" i="65"/>
  <c r="F163" i="65"/>
  <c r="E104" i="61" s="1"/>
  <c r="I14" i="64"/>
  <c r="I172" i="65"/>
  <c r="P181" i="65"/>
  <c r="E188" i="66"/>
  <c r="P163" i="64"/>
  <c r="P164" i="64" s="1"/>
  <c r="G181" i="65"/>
  <c r="F106" i="61" s="1"/>
  <c r="H58" i="65"/>
  <c r="F14" i="65"/>
  <c r="E20" i="64"/>
  <c r="E33" i="62"/>
  <c r="E34" i="62" s="1"/>
  <c r="F20" i="64"/>
  <c r="E107" i="61"/>
  <c r="F141" i="66"/>
  <c r="G153" i="64"/>
  <c r="F14" i="66"/>
  <c r="G90" i="66"/>
  <c r="G60" i="63"/>
  <c r="H105" i="61"/>
  <c r="E14" i="63"/>
  <c r="E13" i="66"/>
  <c r="I153" i="64"/>
  <c r="H104" i="61"/>
  <c r="G106" i="61"/>
  <c r="H106" i="61"/>
  <c r="G58" i="65"/>
  <c r="F85" i="61" s="1"/>
  <c r="G13" i="64"/>
  <c r="G104" i="61"/>
  <c r="E106" i="61"/>
  <c r="H107" i="61"/>
  <c r="F105" i="61"/>
  <c r="D106" i="61"/>
  <c r="H90" i="64"/>
  <c r="D105" i="61"/>
  <c r="E164" i="64"/>
  <c r="E21" i="64"/>
  <c r="F56" i="66"/>
  <c r="F12" i="66"/>
  <c r="E17" i="63"/>
  <c r="E112" i="63"/>
  <c r="M26" i="66"/>
  <c r="M211" i="66"/>
  <c r="H60" i="63"/>
  <c r="H14" i="63"/>
  <c r="I40" i="64"/>
  <c r="I10" i="64"/>
  <c r="I10" i="63" s="1"/>
  <c r="E52" i="63"/>
  <c r="N83" i="65"/>
  <c r="N15" i="65"/>
  <c r="H15" i="63"/>
  <c r="H92" i="63"/>
  <c r="I101" i="65"/>
  <c r="I17" i="65"/>
  <c r="F23" i="63"/>
  <c r="F166" i="63"/>
  <c r="F15" i="64"/>
  <c r="F110" i="64"/>
  <c r="I26" i="64"/>
  <c r="I228" i="64"/>
  <c r="G39" i="66"/>
  <c r="G10" i="66"/>
  <c r="G10" i="65" s="1"/>
  <c r="N21" i="66"/>
  <c r="N151" i="66"/>
  <c r="G22" i="63"/>
  <c r="G155" i="63"/>
  <c r="P11" i="64"/>
  <c r="P50" i="64"/>
  <c r="Q112" i="63"/>
  <c r="Q17" i="63"/>
  <c r="H42" i="63"/>
  <c r="I153" i="65"/>
  <c r="I23" i="65"/>
  <c r="I14" i="66"/>
  <c r="I90" i="66"/>
  <c r="P26" i="64"/>
  <c r="P228" i="64"/>
  <c r="G12" i="64"/>
  <c r="G58" i="64"/>
  <c r="I15" i="66"/>
  <c r="I99" i="66"/>
  <c r="H153" i="64"/>
  <c r="H20" i="64"/>
  <c r="E10" i="64"/>
  <c r="E10" i="63" s="1"/>
  <c r="E40" i="64"/>
  <c r="F16" i="65"/>
  <c r="F92" i="65"/>
  <c r="G83" i="65"/>
  <c r="G15" i="65"/>
  <c r="H10" i="64"/>
  <c r="H10" i="63" s="1"/>
  <c r="H40" i="64"/>
  <c r="M166" i="63"/>
  <c r="M23" i="63"/>
  <c r="M10" i="66"/>
  <c r="M39" i="66"/>
  <c r="P17" i="63"/>
  <c r="P112" i="63"/>
  <c r="G40" i="64"/>
  <c r="G10" i="64"/>
  <c r="G10" i="63" s="1"/>
  <c r="E213" i="65"/>
  <c r="E28" i="65"/>
  <c r="F143" i="65"/>
  <c r="F22" i="65"/>
  <c r="Q16" i="63"/>
  <c r="Q102" i="63"/>
  <c r="N15" i="63"/>
  <c r="N92" i="63"/>
  <c r="O26" i="64"/>
  <c r="O228" i="64"/>
  <c r="P166" i="63"/>
  <c r="P23" i="63"/>
  <c r="N56" i="66"/>
  <c r="N12" i="66"/>
  <c r="H99" i="66"/>
  <c r="H15" i="66"/>
  <c r="E211" i="66"/>
  <c r="E26" i="66"/>
  <c r="Q10" i="64"/>
  <c r="Q40" i="64"/>
  <c r="E50" i="65"/>
  <c r="I11" i="66"/>
  <c r="I11" i="65" s="1"/>
  <c r="I48" i="66"/>
  <c r="P28" i="65"/>
  <c r="P213" i="65"/>
  <c r="E48" i="66"/>
  <c r="E11" i="66"/>
  <c r="E11" i="65" s="1"/>
  <c r="N166" i="63"/>
  <c r="N23" i="63"/>
  <c r="Q21" i="64"/>
  <c r="Q164" i="64"/>
  <c r="E228" i="64"/>
  <c r="E26" i="64"/>
  <c r="I13" i="66"/>
  <c r="I81" i="66"/>
  <c r="F21" i="66"/>
  <c r="F151" i="66"/>
  <c r="F102" i="63"/>
  <c r="F16" i="63"/>
  <c r="C50" i="61"/>
  <c r="C56" i="61" s="1"/>
  <c r="E15" i="66"/>
  <c r="E99" i="66"/>
  <c r="M21" i="64"/>
  <c r="M164" i="64"/>
  <c r="I17" i="63"/>
  <c r="Q23" i="65"/>
  <c r="G99" i="66"/>
  <c r="G15" i="66"/>
  <c r="D104" i="61"/>
  <c r="H26" i="64"/>
  <c r="H228" i="64"/>
  <c r="G105" i="61"/>
  <c r="Q28" i="63"/>
  <c r="Q230" i="63"/>
  <c r="I26" i="66"/>
  <c r="I211" i="66"/>
  <c r="N58" i="64"/>
  <c r="N12" i="64"/>
  <c r="F17" i="65"/>
  <c r="F101" i="65"/>
  <c r="I166" i="63"/>
  <c r="I23" i="63"/>
  <c r="N92" i="65"/>
  <c r="N16" i="65"/>
  <c r="O83" i="65"/>
  <c r="O15" i="65"/>
  <c r="G15" i="64"/>
  <c r="G110" i="64"/>
  <c r="E23" i="63"/>
  <c r="E166" i="63"/>
  <c r="I102" i="63"/>
  <c r="I16" i="63"/>
  <c r="E14" i="66"/>
  <c r="E90" i="66"/>
  <c r="I28" i="63"/>
  <c r="I230" i="63"/>
  <c r="H164" i="64"/>
  <c r="H21" i="64"/>
  <c r="H155" i="63"/>
  <c r="H22" i="63"/>
  <c r="E22" i="63"/>
  <c r="E155" i="63"/>
  <c r="O23" i="65"/>
  <c r="O153" i="65"/>
  <c r="G16" i="65"/>
  <c r="G92" i="65"/>
  <c r="P28" i="63"/>
  <c r="P230" i="63"/>
  <c r="H102" i="63"/>
  <c r="H16" i="63"/>
  <c r="G107" i="61"/>
  <c r="P12" i="64"/>
  <c r="P58" i="64"/>
  <c r="G42" i="63"/>
  <c r="E10" i="66"/>
  <c r="E10" i="65" s="1"/>
  <c r="E39" i="66"/>
  <c r="Q58" i="64"/>
  <c r="Q12" i="64"/>
  <c r="H56" i="66"/>
  <c r="H12" i="66"/>
  <c r="F26" i="66"/>
  <c r="F211" i="66"/>
  <c r="E102" i="63"/>
  <c r="E16" i="63"/>
  <c r="F107" i="61"/>
  <c r="M11" i="64"/>
  <c r="M50" i="64"/>
  <c r="M15" i="63"/>
  <c r="M92" i="63"/>
  <c r="G41" i="61"/>
  <c r="H55" i="62"/>
  <c r="N26" i="64"/>
  <c r="N228" i="64"/>
  <c r="M16" i="65"/>
  <c r="M92" i="65"/>
  <c r="I52" i="63"/>
  <c r="F11" i="64"/>
  <c r="F11" i="63" s="1"/>
  <c r="F50" i="64"/>
  <c r="Q151" i="66"/>
  <c r="Q21" i="66"/>
  <c r="H23" i="65"/>
  <c r="H153" i="65"/>
  <c r="G81" i="66"/>
  <c r="G13" i="66"/>
  <c r="P211" i="66"/>
  <c r="P26" i="66"/>
  <c r="I90" i="64"/>
  <c r="I13" i="64"/>
  <c r="G102" i="63"/>
  <c r="G16" i="63"/>
  <c r="E110" i="64"/>
  <c r="E15" i="64"/>
  <c r="I15" i="63"/>
  <c r="I92" i="63"/>
  <c r="H14" i="66"/>
  <c r="H90" i="66"/>
  <c r="H48" i="66"/>
  <c r="H11" i="66"/>
  <c r="H11" i="65" s="1"/>
  <c r="F52" i="63"/>
  <c r="E14" i="64"/>
  <c r="E100" i="64"/>
  <c r="M11" i="66"/>
  <c r="M48" i="66"/>
  <c r="E92" i="65"/>
  <c r="E16" i="65"/>
  <c r="F55" i="62"/>
  <c r="E41" i="61"/>
  <c r="I21" i="66"/>
  <c r="I151" i="66"/>
  <c r="G143" i="65"/>
  <c r="G22" i="65"/>
  <c r="Q23" i="63"/>
  <c r="Q166" i="63"/>
  <c r="D37" i="61"/>
  <c r="D36" i="61"/>
  <c r="I15" i="65"/>
  <c r="I83" i="65"/>
  <c r="P12" i="66"/>
  <c r="P56" i="66"/>
  <c r="G17" i="63"/>
  <c r="G112" i="63"/>
  <c r="N10" i="64"/>
  <c r="N40" i="64"/>
  <c r="E151" i="66"/>
  <c r="E21" i="66"/>
  <c r="I155" i="63"/>
  <c r="I22" i="63"/>
  <c r="H211" i="66"/>
  <c r="H26" i="66"/>
  <c r="E153" i="65"/>
  <c r="E23" i="65"/>
  <c r="H143" i="65"/>
  <c r="H22" i="65"/>
  <c r="O102" i="63"/>
  <c r="O16" i="63"/>
  <c r="I50" i="64"/>
  <c r="I11" i="64"/>
  <c r="I11" i="63" s="1"/>
  <c r="G12" i="66"/>
  <c r="G56" i="66"/>
  <c r="F28" i="65"/>
  <c r="F213" i="65"/>
  <c r="Q92" i="63"/>
  <c r="Q15" i="63"/>
  <c r="I141" i="66"/>
  <c r="I20" i="66"/>
  <c r="M56" i="66"/>
  <c r="M12" i="66"/>
  <c r="G228" i="64"/>
  <c r="G26" i="64"/>
  <c r="P102" i="63"/>
  <c r="P16" i="63"/>
  <c r="G14" i="64"/>
  <c r="G100" i="64"/>
  <c r="M26" i="64"/>
  <c r="M228" i="64"/>
  <c r="N102" i="63"/>
  <c r="N16" i="63"/>
  <c r="N50" i="64"/>
  <c r="N11" i="64"/>
  <c r="Q26" i="66"/>
  <c r="Q211" i="66"/>
  <c r="I39" i="66"/>
  <c r="I10" i="66"/>
  <c r="I10" i="65" s="1"/>
  <c r="I110" i="64"/>
  <c r="I15" i="64"/>
  <c r="O101" i="65"/>
  <c r="O17" i="65"/>
  <c r="O166" i="63"/>
  <c r="O23" i="63"/>
  <c r="H39" i="66"/>
  <c r="H10" i="66"/>
  <c r="H10" i="65" s="1"/>
  <c r="P23" i="65"/>
  <c r="P153" i="65"/>
  <c r="F48" i="66"/>
  <c r="F11" i="66"/>
  <c r="F11" i="65" s="1"/>
  <c r="Q15" i="65"/>
  <c r="F17" i="63"/>
  <c r="F112" i="63"/>
  <c r="G17" i="65"/>
  <c r="G101" i="65"/>
  <c r="F90" i="64"/>
  <c r="F13" i="64"/>
  <c r="E15" i="65"/>
  <c r="E83" i="65"/>
  <c r="F39" i="66"/>
  <c r="F10" i="66"/>
  <c r="F10" i="65" s="1"/>
  <c r="O48" i="66"/>
  <c r="O11" i="66"/>
  <c r="H20" i="66"/>
  <c r="H141" i="66"/>
  <c r="E105" i="61"/>
  <c r="M101" i="65"/>
  <c r="M17" i="65"/>
  <c r="E28" i="63"/>
  <c r="E230" i="63"/>
  <c r="G23" i="63"/>
  <c r="G166" i="63"/>
  <c r="O17" i="63"/>
  <c r="O112" i="63"/>
  <c r="I28" i="65"/>
  <c r="I213" i="65"/>
  <c r="O26" i="66"/>
  <c r="O211" i="66"/>
  <c r="P10" i="66"/>
  <c r="P39" i="66"/>
  <c r="F40" i="64"/>
  <c r="F10" i="64"/>
  <c r="F10" i="63" s="1"/>
  <c r="F13" i="66"/>
  <c r="F81" i="66"/>
  <c r="I56" i="66"/>
  <c r="I12" i="66"/>
  <c r="G41" i="65"/>
  <c r="F35" i="61"/>
  <c r="G33" i="62"/>
  <c r="M21" i="66"/>
  <c r="M151" i="66"/>
  <c r="F104" i="61"/>
  <c r="O92" i="63"/>
  <c r="O15" i="63"/>
  <c r="N23" i="65"/>
  <c r="N153" i="65"/>
  <c r="M23" i="65"/>
  <c r="M153" i="65"/>
  <c r="E13" i="64"/>
  <c r="E90" i="64"/>
  <c r="E42" i="63"/>
  <c r="Q11" i="64"/>
  <c r="Q50" i="64"/>
  <c r="O56" i="66"/>
  <c r="O12" i="66"/>
  <c r="N28" i="65"/>
  <c r="N213" i="65"/>
  <c r="H15" i="65"/>
  <c r="H83" i="65"/>
  <c r="F42" i="63"/>
  <c r="E12" i="66"/>
  <c r="E56" i="66"/>
  <c r="F92" i="63"/>
  <c r="F15" i="63"/>
  <c r="I21" i="64"/>
  <c r="I164" i="64"/>
  <c r="F26" i="64"/>
  <c r="F228" i="64"/>
  <c r="O92" i="65"/>
  <c r="O16" i="65"/>
  <c r="I58" i="64"/>
  <c r="I12" i="64"/>
  <c r="N26" i="66"/>
  <c r="N211" i="66"/>
  <c r="G52" i="63"/>
  <c r="F99" i="66"/>
  <c r="F15" i="66"/>
  <c r="E92" i="63"/>
  <c r="E15" i="63"/>
  <c r="D41" i="61"/>
  <c r="E55" i="62"/>
  <c r="E56" i="62" s="1"/>
  <c r="F41" i="65"/>
  <c r="H81" i="66"/>
  <c r="H13" i="66"/>
  <c r="F21" i="64"/>
  <c r="F164" i="64"/>
  <c r="N11" i="66"/>
  <c r="N48" i="66"/>
  <c r="Q16" i="65"/>
  <c r="I50" i="65"/>
  <c r="O21" i="66"/>
  <c r="O151" i="66"/>
  <c r="H21" i="66"/>
  <c r="H151" i="66"/>
  <c r="M15" i="65"/>
  <c r="M83" i="65"/>
  <c r="N10" i="66"/>
  <c r="N39" i="66"/>
  <c r="G48" i="66"/>
  <c r="G11" i="66"/>
  <c r="G11" i="65" s="1"/>
  <c r="F28" i="63"/>
  <c r="F230" i="63"/>
  <c r="E101" i="65"/>
  <c r="E17" i="65"/>
  <c r="M230" i="63"/>
  <c r="M28" i="63"/>
  <c r="Q28" i="65"/>
  <c r="G211" i="66"/>
  <c r="G26" i="66"/>
  <c r="G141" i="66"/>
  <c r="G20" i="66"/>
  <c r="H33" i="62"/>
  <c r="G35" i="61"/>
  <c r="F14" i="64"/>
  <c r="F100" i="64"/>
  <c r="H110" i="64"/>
  <c r="H15" i="64"/>
  <c r="I60" i="63"/>
  <c r="I14" i="63"/>
  <c r="I143" i="65"/>
  <c r="I22" i="65"/>
  <c r="Q12" i="66"/>
  <c r="H16" i="65"/>
  <c r="H92" i="65"/>
  <c r="M12" i="64"/>
  <c r="M58" i="64"/>
  <c r="G28" i="65"/>
  <c r="G213" i="65"/>
  <c r="O11" i="64"/>
  <c r="O50" i="64"/>
  <c r="F155" i="63"/>
  <c r="F22" i="63"/>
  <c r="G15" i="63"/>
  <c r="G92" i="63"/>
  <c r="F153" i="65"/>
  <c r="F23" i="65"/>
  <c r="G55" i="62"/>
  <c r="F41" i="61"/>
  <c r="H17" i="65"/>
  <c r="H101" i="65"/>
  <c r="E58" i="65"/>
  <c r="D85" i="61" s="1"/>
  <c r="E14" i="65"/>
  <c r="I42" i="63"/>
  <c r="O230" i="63"/>
  <c r="O28" i="63"/>
  <c r="P15" i="65"/>
  <c r="P83" i="65"/>
  <c r="G153" i="65"/>
  <c r="G23" i="65"/>
  <c r="H166" i="63"/>
  <c r="H23" i="63"/>
  <c r="H58" i="64"/>
  <c r="H12" i="64"/>
  <c r="H213" i="65"/>
  <c r="H28" i="65"/>
  <c r="F58" i="64"/>
  <c r="F12" i="64"/>
  <c r="N101" i="65"/>
  <c r="N17" i="65"/>
  <c r="H41" i="65"/>
  <c r="H230" i="63"/>
  <c r="H28" i="63"/>
  <c r="N17" i="63"/>
  <c r="N112" i="63"/>
  <c r="H52" i="63"/>
  <c r="M16" i="63"/>
  <c r="M102" i="63"/>
  <c r="E41" i="65"/>
  <c r="E11" i="64"/>
  <c r="E11" i="63" s="1"/>
  <c r="E50" i="64"/>
  <c r="H41" i="61"/>
  <c r="E22" i="65"/>
  <c r="E143" i="65"/>
  <c r="H17" i="63"/>
  <c r="H112" i="63"/>
  <c r="I92" i="65"/>
  <c r="I16" i="65"/>
  <c r="O10" i="64"/>
  <c r="O40" i="64"/>
  <c r="M28" i="65"/>
  <c r="M17" i="63"/>
  <c r="M112" i="63"/>
  <c r="G151" i="66"/>
  <c r="G21" i="66"/>
  <c r="P21" i="66"/>
  <c r="P151" i="66"/>
  <c r="H35" i="61"/>
  <c r="I33" i="62"/>
  <c r="F15" i="65"/>
  <c r="F83" i="65"/>
  <c r="P15" i="63"/>
  <c r="P92" i="63"/>
  <c r="Q17" i="65"/>
  <c r="I14" i="65"/>
  <c r="N230" i="63"/>
  <c r="N28" i="63"/>
  <c r="H100" i="64"/>
  <c r="H14" i="64"/>
  <c r="Q228" i="64"/>
  <c r="Q26" i="64"/>
  <c r="O10" i="66"/>
  <c r="O39" i="66"/>
  <c r="G50" i="65"/>
  <c r="H11" i="64"/>
  <c r="H11" i="63" s="1"/>
  <c r="H50" i="64"/>
  <c r="F14" i="63"/>
  <c r="F60" i="63"/>
  <c r="E85" i="61" s="1"/>
  <c r="P16" i="65"/>
  <c r="P92" i="65"/>
  <c r="E58" i="64"/>
  <c r="E12" i="64"/>
  <c r="O28" i="65"/>
  <c r="O213" i="65"/>
  <c r="G11" i="64"/>
  <c r="G11" i="63" s="1"/>
  <c r="G50" i="64"/>
  <c r="O12" i="64"/>
  <c r="O58" i="64"/>
  <c r="G164" i="64"/>
  <c r="G21" i="64"/>
  <c r="P101" i="65"/>
  <c r="P17" i="65"/>
  <c r="E35" i="61"/>
  <c r="F33" i="62"/>
  <c r="M10" i="64"/>
  <c r="M40" i="64"/>
  <c r="G230" i="63"/>
  <c r="G28" i="63"/>
  <c r="P40" i="64"/>
  <c r="P10" i="64"/>
  <c r="E20" i="66"/>
  <c r="E141" i="66"/>
  <c r="F50" i="65" l="1"/>
  <c r="E84" i="61" s="1"/>
  <c r="I41" i="65"/>
  <c r="H50" i="65"/>
  <c r="G84" i="61" s="1"/>
  <c r="P48" i="66"/>
  <c r="Q39" i="66"/>
  <c r="Q48" i="66"/>
  <c r="Q29" i="63"/>
  <c r="E110" i="61"/>
  <c r="N164" i="64"/>
  <c r="O164" i="64"/>
  <c r="P21" i="64"/>
  <c r="F34" i="62"/>
  <c r="G85" i="61"/>
  <c r="F89" i="61"/>
  <c r="G56" i="62"/>
  <c r="H83" i="61"/>
  <c r="H101" i="61"/>
  <c r="E90" i="61"/>
  <c r="G101" i="61"/>
  <c r="I56" i="62"/>
  <c r="F83" i="61"/>
  <c r="G34" i="62"/>
  <c r="E101" i="61"/>
  <c r="H85" i="61"/>
  <c r="N27" i="66"/>
  <c r="E91" i="61"/>
  <c r="O27" i="66"/>
  <c r="F101" i="61"/>
  <c r="P27" i="64"/>
  <c r="I34" i="62"/>
  <c r="D110" i="61"/>
  <c r="O29" i="63"/>
  <c r="F110" i="61"/>
  <c r="N29" i="63"/>
  <c r="H34" i="62"/>
  <c r="F84" i="61"/>
  <c r="F37" i="61"/>
  <c r="F36" i="61"/>
  <c r="F56" i="62"/>
  <c r="F90" i="61"/>
  <c r="Q27" i="66"/>
  <c r="H84" i="61"/>
  <c r="M29" i="65"/>
  <c r="P29" i="63"/>
  <c r="H43" i="61"/>
  <c r="H42" i="61"/>
  <c r="E83" i="61"/>
  <c r="D83" i="61"/>
  <c r="O29" i="65"/>
  <c r="H91" i="61"/>
  <c r="P29" i="65"/>
  <c r="D91" i="61"/>
  <c r="D42" i="61"/>
  <c r="D43" i="61"/>
  <c r="Q29" i="65"/>
  <c r="N27" i="64"/>
  <c r="H89" i="61"/>
  <c r="D84" i="61"/>
  <c r="E36" i="61"/>
  <c r="E37" i="61"/>
  <c r="N29" i="65"/>
  <c r="F43" i="61"/>
  <c r="F42" i="61"/>
  <c r="M29" i="63"/>
  <c r="P27" i="66"/>
  <c r="F91" i="61"/>
  <c r="G90" i="61"/>
  <c r="H90" i="61"/>
  <c r="D89" i="61"/>
  <c r="E89" i="61"/>
  <c r="H56" i="62"/>
  <c r="D90" i="61"/>
  <c r="D101" i="61"/>
  <c r="G91" i="61"/>
  <c r="M27" i="64"/>
  <c r="H37" i="61"/>
  <c r="H36" i="61"/>
  <c r="G110" i="61"/>
  <c r="G42" i="61"/>
  <c r="G43" i="61"/>
  <c r="G89" i="61"/>
  <c r="O27" i="64"/>
  <c r="G36" i="61"/>
  <c r="G37" i="61"/>
  <c r="E43" i="61"/>
  <c r="E42" i="61"/>
  <c r="H110" i="61"/>
  <c r="Q27" i="64"/>
  <c r="M27" i="66"/>
  <c r="G83" i="61"/>
  <c r="E50" i="61" l="1"/>
  <c r="E56" i="61" s="1"/>
  <c r="E57" i="61" s="1"/>
  <c r="F50" i="61"/>
  <c r="F56" i="61" s="1"/>
  <c r="F57" i="61" s="1"/>
  <c r="H50" i="61"/>
  <c r="G50" i="61"/>
  <c r="G51" i="61" s="1"/>
  <c r="D50" i="61"/>
  <c r="D56" i="61" s="1"/>
  <c r="H56" i="61" l="1"/>
  <c r="H57" i="61" s="1"/>
  <c r="H51" i="61"/>
  <c r="E51" i="61"/>
  <c r="E58" i="61"/>
  <c r="F51" i="61"/>
  <c r="F52" i="61"/>
  <c r="F58" i="61"/>
  <c r="D58" i="61"/>
  <c r="D52" i="61"/>
  <c r="D51" i="61"/>
  <c r="E52" i="61"/>
  <c r="D57" i="61"/>
  <c r="G52" i="61"/>
  <c r="G56" i="61"/>
  <c r="G58" i="61" s="1"/>
  <c r="H52" i="61"/>
  <c r="H58" i="61" l="1"/>
  <c r="G5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sharedStrings.xml><?xml version="1.0" encoding="utf-8"?>
<sst xmlns="http://schemas.openxmlformats.org/spreadsheetml/2006/main" count="4103" uniqueCount="1316">
  <si>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</si>
  <si>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</si>
  <si>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</si>
  <si>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</si>
  <si>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</si>
  <si>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</si>
  <si>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</si>
  <si>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</si>
  <si>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</si>
  <si>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</si>
  <si>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</si>
  <si>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</si>
  <si>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</si>
  <si>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</si>
  <si>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</si>
  <si>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</si>
  <si>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</si>
  <si>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</si>
  <si>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</si>
  <si>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</si>
  <si>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</si>
  <si>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</si>
  <si>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</si>
  <si>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</si>
  <si>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</si>
  <si>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</si>
  <si>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</si>
  <si>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</si>
  <si>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</si>
  <si>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</si>
  <si>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</si>
  <si>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</si>
  <si>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</si>
  <si>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</si>
  <si>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</si>
  <si>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</si>
  <si>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</si>
  <si>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</si>
  <si>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</si>
  <si>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</si>
  <si>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</si>
  <si>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</si>
  <si>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</si>
  <si>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</si>
  <si>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Eligible population calculation</t>
  </si>
  <si>
    <t>Current practice -
year 0</t>
  </si>
  <si>
    <t>Future practice - year 5 (with population growth/disease change)</t>
  </si>
  <si>
    <t>References and data sources</t>
  </si>
  <si>
    <t>Adult population</t>
  </si>
  <si>
    <t>See notes below</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</si>
  <si>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</si>
  <si>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</si>
  <si>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</si>
  <si>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</si>
  <si>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</si>
  <si>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</si>
  <si>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</si>
  <si>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</si>
  <si>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</si>
  <si>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</si>
  <si>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day(s)</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</si>
  <si>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</si>
  <si>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</si>
  <si>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</si>
  <si>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</si>
  <si>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</si>
  <si>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</si>
  <si>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</si>
  <si>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</si>
  <si>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</si>
  <si>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</si>
  <si>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</si>
  <si>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</si>
  <si>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</si>
  <si>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</si>
  <si>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</si>
  <si>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</si>
  <si>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</si>
  <si>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</si>
  <si>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</si>
  <si>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</si>
  <si>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</si>
  <si>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</si>
  <si>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Number of first attendances</t>
  </si>
  <si>
    <t>per patient per visit</t>
  </si>
  <si>
    <t>Number of follow up attendances</t>
  </si>
  <si>
    <t>nursing</t>
  </si>
  <si>
    <t>Duration of administration (minutes)</t>
  </si>
  <si>
    <t>Band 7 Mid</t>
  </si>
  <si>
    <t>Preparation time before administration
(mins)</t>
  </si>
  <si>
    <t>Post administration nursing time (mins)</t>
  </si>
  <si>
    <t>Band 5 Mid</t>
  </si>
  <si>
    <t>pharmacy</t>
  </si>
  <si>
    <t>In-house number of aseptic unit preparations</t>
  </si>
  <si>
    <t>Bought-in number of aseptic unit preparations</t>
  </si>
  <si>
    <t>handling time per prep</t>
  </si>
  <si>
    <t>Drug regimen prep (mins)</t>
  </si>
  <si>
    <t>Band 8a Mid</t>
  </si>
  <si>
    <t>Consultant mid</t>
  </si>
  <si>
    <t>Specialty x</t>
  </si>
  <si>
    <t>Appointments with x specialty</t>
  </si>
  <si>
    <t>pathology / diagnostics / radiology</t>
  </si>
  <si>
    <t>Band 6 Mid</t>
  </si>
  <si>
    <t>Adverse events</t>
  </si>
  <si>
    <t>Adverse events, various (rate of cases)</t>
  </si>
  <si>
    <t>Notes</t>
  </si>
  <si>
    <t>Adverse events rates driven by inputs in blue cells on unit costs worksheet</t>
  </si>
  <si>
    <t>Population data notes</t>
  </si>
  <si>
    <t>-</t>
  </si>
  <si>
    <t>Unit costs</t>
  </si>
  <si>
    <t>Review the data in each blue cell below.  Enter a local value or leave NICE standard assumptions.</t>
  </si>
  <si>
    <t>Drug cost workings</t>
  </si>
  <si>
    <t>Regimen</t>
  </si>
  <si>
    <t>Drug name</t>
  </si>
  <si>
    <t>Dose (mg)</t>
  </si>
  <si>
    <r>
      <t>BSA (m</t>
    </r>
    <r>
      <rPr>
        <vertAlign val="superscript"/>
        <sz val="11"/>
        <rFont val="Calibri"/>
        <family val="2"/>
        <scheme val="minor"/>
      </rPr>
      <t>2</t>
    </r>
    <r>
      <rPr>
        <sz val="11"/>
        <rFont val="Calibri"/>
        <family val="2"/>
        <scheme val="minor"/>
      </rPr>
      <t>)</t>
    </r>
  </si>
  <si>
    <t>Weight (kg)</t>
  </si>
  <si>
    <t>Dose per admin</t>
  </si>
  <si>
    <t>Frequency (days)</t>
  </si>
  <si>
    <t>Pack type</t>
  </si>
  <si>
    <t>Quantity</t>
  </si>
  <si>
    <t>Strength (mg)</t>
  </si>
  <si>
    <t>Total contents (mg)</t>
  </si>
  <si>
    <t xml:space="preserve">Cost </t>
  </si>
  <si>
    <t>Cycles</t>
  </si>
  <si>
    <t>Admin method</t>
  </si>
  <si>
    <t>VAT rate</t>
  </si>
  <si>
    <t>Annual cost</t>
  </si>
  <si>
    <t>n/a</t>
  </si>
  <si>
    <t>All components</t>
  </si>
  <si>
    <t>Administrations</t>
  </si>
  <si>
    <t>Treatment option</t>
  </si>
  <si>
    <t>HRG code</t>
  </si>
  <si>
    <t>HRG description</t>
  </si>
  <si>
    <t>Tariff</t>
  </si>
  <si>
    <t xml:space="preserve">National  </t>
  </si>
  <si>
    <t xml:space="preserve">prices </t>
  </si>
  <si>
    <t>are</t>
  </si>
  <si>
    <t>used</t>
  </si>
  <si>
    <t>on the</t>
  </si>
  <si>
    <t>all options</t>
  </si>
  <si>
    <t>left.</t>
  </si>
  <si>
    <t>Local</t>
  </si>
  <si>
    <t>prices</t>
  </si>
  <si>
    <t xml:space="preserve">can be </t>
  </si>
  <si>
    <t>Appointments with x specialist</t>
  </si>
  <si>
    <t xml:space="preserve">used as </t>
  </si>
  <si>
    <t xml:space="preserve">as an </t>
  </si>
  <si>
    <t>alternative.</t>
  </si>
  <si>
    <t>The</t>
  </si>
  <si>
    <t xml:space="preserve">selection </t>
  </si>
  <si>
    <t>between</t>
  </si>
  <si>
    <t xml:space="preserve">using </t>
  </si>
  <si>
    <t>local or</t>
  </si>
  <si>
    <t>national</t>
  </si>
  <si>
    <t>is made</t>
  </si>
  <si>
    <t>summary</t>
  </si>
  <si>
    <t>national prices</t>
  </si>
  <si>
    <t>local prices</t>
  </si>
  <si>
    <t>Event</t>
  </si>
  <si>
    <t>Unit cost (£) 
national prices</t>
  </si>
  <si>
    <t>Unit cost (£) local prices</t>
  </si>
  <si>
    <t>Amend data in blue cells locally where necessary.</t>
  </si>
  <si>
    <t>Estimated number of administrations</t>
  </si>
  <si>
    <t>Current practice</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</si>
  <si>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</si>
  <si>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</si>
  <si>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</si>
  <si>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</si>
  <si>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</si>
  <si>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</si>
  <si>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</si>
  <si>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</si>
  <si>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</si>
  <si>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</si>
  <si>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</si>
  <si>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</si>
  <si>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</si>
  <si>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</si>
  <si>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</si>
  <si>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</si>
  <si>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</si>
  <si>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</si>
  <si>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</si>
  <si>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</si>
  <si>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</si>
  <si>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</si>
  <si>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</si>
  <si>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Drug regimen prep (hours) - change to current practice</t>
  </si>
  <si>
    <t>Capacity impact on x service</t>
  </si>
  <si>
    <t>Appointments with x specialty - change</t>
  </si>
  <si>
    <t>Capacity impact on pathology/ radiology /diagnostics</t>
  </si>
  <si>
    <t>Capacity impact due to adverse events</t>
  </si>
  <si>
    <t>Adverse events, various (cases) - change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</si>
  <si>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</si>
  <si>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</si>
  <si>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</si>
  <si>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</si>
  <si>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</si>
  <si>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</si>
  <si>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</si>
  <si>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</si>
  <si>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</si>
  <si>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</si>
  <si>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</si>
  <si>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</si>
  <si>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</si>
  <si>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</si>
  <si>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</si>
  <si>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</si>
  <si>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</si>
  <si>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</si>
  <si>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</si>
  <si>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</si>
  <si>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</si>
  <si>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</si>
  <si>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</si>
  <si>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</si>
  <si>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</si>
  <si>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</si>
  <si>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</si>
  <si>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</si>
  <si>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</si>
  <si>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</si>
  <si>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</si>
  <si>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</si>
  <si>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</si>
  <si>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</si>
  <si>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</si>
  <si>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</si>
  <si>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</si>
  <si>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</si>
  <si>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</si>
  <si>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</si>
  <si>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</si>
  <si>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</si>
  <si>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</si>
  <si>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</si>
  <si>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</si>
  <si>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</si>
  <si>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</si>
  <si>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</si>
  <si>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</si>
  <si>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</si>
  <si>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</si>
  <si>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</si>
  <si>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</si>
  <si>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</si>
  <si>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</si>
  <si>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</si>
  <si>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</si>
  <si>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</si>
  <si>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</si>
  <si>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</si>
  <si>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</si>
  <si>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</si>
  <si>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</si>
  <si>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</si>
  <si>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</si>
  <si>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</si>
  <si>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</si>
  <si>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</si>
  <si>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</si>
  <si>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</si>
  <si>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</si>
  <si>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</si>
  <si>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</si>
  <si>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</si>
  <si>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</si>
  <si>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</si>
  <si>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</si>
  <si>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</si>
  <si>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</si>
  <si>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</si>
  <si>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</si>
  <si>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</si>
  <si>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</si>
  <si>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</si>
  <si>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</si>
  <si>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</si>
  <si>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</si>
  <si>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</si>
  <si>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</si>
  <si>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</si>
  <si>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</si>
  <si>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</si>
  <si>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</si>
  <si>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</si>
  <si>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</si>
  <si>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</si>
  <si>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</si>
  <si>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</si>
  <si>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</si>
  <si>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</si>
  <si>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</si>
  <si>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</si>
  <si>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</si>
  <si>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</si>
  <si>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</si>
  <si>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</si>
  <si>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</si>
  <si>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</si>
  <si>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</si>
  <si>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</si>
  <si>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</si>
  <si>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</si>
  <si>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</si>
  <si>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</si>
  <si>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</si>
  <si>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</si>
  <si>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</si>
  <si>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</si>
  <si>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</si>
  <si>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</si>
  <si>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</si>
  <si>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</si>
  <si>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</si>
  <si>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</si>
  <si>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</si>
  <si>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</si>
  <si>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</si>
  <si>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</si>
  <si>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</si>
  <si>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</si>
  <si>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</si>
  <si>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</si>
  <si>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</si>
  <si>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</si>
  <si>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</si>
  <si>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</si>
  <si>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</si>
  <si>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</si>
  <si>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</si>
  <si>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</si>
  <si>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</si>
  <si>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</si>
  <si>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</si>
  <si>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</si>
  <si>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</si>
  <si>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</si>
  <si>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</si>
  <si>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</si>
  <si>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</si>
  <si>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</si>
  <si>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</si>
  <si>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</si>
  <si>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</si>
  <si>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</si>
  <si>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</si>
  <si>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</si>
  <si>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</si>
  <si>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</si>
  <si>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</si>
  <si>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</si>
  <si>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</si>
  <si>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</si>
  <si>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</si>
  <si>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</si>
  <si>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</si>
  <si>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</si>
  <si>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</si>
  <si>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</si>
  <si>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</si>
  <si>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</si>
  <si>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</si>
  <si>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</si>
  <si>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</si>
  <si>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</si>
  <si>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</si>
  <si>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</si>
  <si>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</si>
  <si>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</si>
  <si>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</si>
  <si>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</si>
  <si>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</si>
  <si>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</si>
  <si>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</si>
  <si>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</si>
  <si>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</si>
  <si>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Dorset</t>
  </si>
  <si>
    <t>Somerset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</si>
  <si>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</si>
  <si>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</si>
  <si>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</si>
  <si>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</si>
  <si>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</si>
  <si>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</si>
  <si>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</si>
  <si>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</si>
  <si>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</si>
  <si>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</si>
  <si>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</si>
  <si>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</si>
  <si>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</si>
  <si>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</si>
  <si>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</si>
  <si>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</si>
  <si>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</si>
  <si>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</si>
  <si>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</si>
  <si>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</si>
  <si>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</si>
  <si>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</si>
  <si>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</si>
  <si>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</si>
  <si>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</si>
  <si>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</si>
  <si>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</si>
  <si>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</si>
  <si>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</si>
  <si>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</si>
  <si>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</si>
  <si>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</si>
  <si>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</si>
  <si>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</si>
  <si>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</si>
  <si>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</si>
  <si>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</si>
  <si>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</si>
  <si>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</si>
  <si>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</si>
  <si>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</si>
  <si>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</si>
  <si>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</si>
  <si>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</si>
  <si>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</si>
  <si>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</si>
  <si>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</si>
  <si>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</si>
  <si>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</si>
  <si>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</si>
  <si>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</si>
  <si>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</si>
  <si>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</si>
  <si>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</si>
  <si>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</si>
  <si>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</si>
  <si>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</si>
  <si>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</si>
  <si>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</si>
  <si>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</si>
  <si>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</si>
  <si>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</si>
  <si>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</si>
  <si>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Dacorum</t>
  </si>
  <si>
    <t>Darlington</t>
  </si>
  <si>
    <t>Dartford</t>
  </si>
  <si>
    <t>Derby</t>
  </si>
  <si>
    <t>Derbyshire Dales</t>
  </si>
  <si>
    <t>Doncaster</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</si>
  <si>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</si>
  <si>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</si>
  <si>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</si>
  <si>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</si>
  <si>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</si>
  <si>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</si>
  <si>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</si>
  <si>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</si>
  <si>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</si>
  <si>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</si>
  <si>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</si>
  <si>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</si>
  <si>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</si>
  <si>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</si>
  <si>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</si>
  <si>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</si>
  <si>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</si>
  <si>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</si>
  <si>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</si>
  <si>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</si>
  <si>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</si>
  <si>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</si>
  <si>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</si>
  <si>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</si>
  <si>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</si>
  <si>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</si>
  <si>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</si>
  <si>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</si>
  <si>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</si>
  <si>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</si>
  <si>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</si>
  <si>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</si>
  <si>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</si>
  <si>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</si>
  <si>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</si>
  <si>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</si>
  <si>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</si>
  <si>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</si>
  <si>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</si>
  <si>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</si>
  <si>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</si>
  <si>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</si>
  <si>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</si>
  <si>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</si>
  <si>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</si>
  <si>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</si>
  <si>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</si>
  <si>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</si>
  <si>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</si>
  <si>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</si>
  <si>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</si>
  <si>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</si>
  <si>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</si>
  <si>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</si>
  <si>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</si>
  <si>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</si>
  <si>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</si>
  <si>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</si>
  <si>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</si>
  <si>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</si>
  <si>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</si>
  <si>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</si>
  <si>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</si>
  <si>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</si>
  <si>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</si>
  <si>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</si>
  <si>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</si>
  <si>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</si>
  <si>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</si>
  <si>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</si>
  <si>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</si>
  <si>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</si>
  <si>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</si>
  <si>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</si>
  <si>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</si>
  <si>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</si>
  <si>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</si>
  <si>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</si>
  <si>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</si>
  <si>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</si>
  <si>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</si>
  <si>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</si>
  <si>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</si>
  <si>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</si>
  <si>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</si>
  <si>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</si>
  <si>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</si>
  <si>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</si>
  <si>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</si>
  <si>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</si>
  <si>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</si>
  <si>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</si>
  <si>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</si>
  <si>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</si>
  <si>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</si>
  <si>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</si>
  <si>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</si>
  <si>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</si>
  <si>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</si>
  <si>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</si>
  <si>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</si>
  <si>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</si>
  <si>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</si>
  <si>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</si>
  <si>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</si>
  <si>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</si>
  <si>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</si>
  <si>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</si>
  <si>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</si>
  <si>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</si>
  <si>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</si>
  <si>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</si>
  <si>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</si>
  <si>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</si>
  <si>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</si>
  <si>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</si>
  <si>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</si>
  <si>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</si>
  <si>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</si>
  <si>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</si>
  <si>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</si>
  <si>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</si>
  <si>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</si>
  <si>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</si>
  <si>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</si>
  <si>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</si>
  <si>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</si>
  <si>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</si>
  <si>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</si>
  <si>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</si>
  <si>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</si>
  <si>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</si>
  <si>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</si>
  <si>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</si>
  <si>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</si>
  <si>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</si>
  <si>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</si>
  <si>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</si>
  <si>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</si>
  <si>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</si>
  <si>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</si>
  <si>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</si>
  <si>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</si>
  <si>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</si>
  <si>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</si>
  <si>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</si>
  <si>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</si>
  <si>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</si>
  <si>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</si>
  <si>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</si>
  <si>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</si>
  <si>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</si>
  <si>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</si>
  <si>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</si>
  <si>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</si>
  <si>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</si>
  <si>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</si>
  <si>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</si>
  <si>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</si>
  <si>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</si>
  <si>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</si>
  <si>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</si>
  <si>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</si>
  <si>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</si>
  <si>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</si>
  <si>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</si>
  <si>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</si>
  <si>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</si>
  <si>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</si>
  <si>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</si>
  <si>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</si>
  <si>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</si>
  <si>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</si>
  <si>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</si>
  <si>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</si>
  <si>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</si>
  <si>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</si>
  <si>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</si>
  <si>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</si>
  <si>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</si>
  <si>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</si>
  <si>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</si>
  <si>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</si>
  <si>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</si>
  <si>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</si>
  <si>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</si>
  <si>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</si>
  <si>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</si>
  <si>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</si>
  <si>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</si>
  <si>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</si>
  <si>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</si>
  <si>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</si>
  <si>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</si>
  <si>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</si>
  <si>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</si>
  <si>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</si>
  <si>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</si>
  <si>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</si>
  <si>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</si>
  <si>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</si>
  <si>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</si>
  <si>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</si>
  <si>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</si>
  <si>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</si>
  <si>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</si>
  <si>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</si>
  <si>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</si>
  <si>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</si>
  <si>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</si>
  <si>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</si>
  <si>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</si>
  <si>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</si>
  <si>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</si>
  <si>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</si>
  <si>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</si>
  <si>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</si>
  <si>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</si>
  <si>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</si>
  <si>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</si>
  <si>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</si>
  <si>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</si>
  <si>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</si>
  <si>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</si>
  <si>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</si>
  <si>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</si>
  <si>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</si>
  <si>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</si>
  <si>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</si>
  <si>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</si>
  <si>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</si>
  <si>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</si>
  <si>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</si>
  <si>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</si>
  <si>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</si>
  <si>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</si>
  <si>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</si>
  <si>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</si>
  <si>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</si>
  <si>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</si>
  <si>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</si>
  <si>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</si>
  <si>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</si>
  <si>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</si>
  <si>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</si>
  <si>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</si>
  <si>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</si>
  <si>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</si>
  <si>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</si>
  <si>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</si>
  <si>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</si>
  <si>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</si>
  <si>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</si>
  <si>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</si>
  <si>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</si>
  <si>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</si>
  <si>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</si>
  <si>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</si>
  <si>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</si>
  <si>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</si>
  <si>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</si>
  <si>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</si>
  <si>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</si>
  <si>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</si>
  <si>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</si>
  <si>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</si>
  <si>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</si>
  <si>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</si>
  <si>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</si>
  <si>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</si>
  <si>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</si>
  <si>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</si>
  <si>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</si>
  <si>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</si>
  <si>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</si>
  <si>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</si>
  <si>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</si>
  <si>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</si>
  <si>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</si>
  <si>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</si>
  <si>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</si>
  <si>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</si>
  <si>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</si>
  <si>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</si>
  <si>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</si>
  <si>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</si>
  <si>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</si>
  <si>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</si>
  <si>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</si>
  <si>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</si>
  <si>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</si>
  <si>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</si>
  <si>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</si>
  <si>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</si>
  <si>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</si>
  <si>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</si>
  <si>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</si>
  <si>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Unit Cost</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</si>
  <si>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</si>
  <si>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</si>
  <si>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</si>
  <si>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</si>
  <si>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</si>
  <si>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Administrations - change in volume of HRGs to current practice</t>
  </si>
  <si>
    <t>Administrations - number of cycles</t>
  </si>
  <si>
    <t>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</si>
  <si>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</si>
  <si>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</si>
  <si>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</si>
  <si>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</si>
  <si>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</si>
  <si>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</si>
  <si>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</si>
  <si>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</si>
  <si>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</si>
  <si>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</si>
  <si>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</si>
  <si>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</si>
  <si>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</si>
  <si>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</si>
  <si>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</si>
  <si>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</si>
  <si>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</si>
  <si>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Bought-in aseptic unit preparations handling (mins)</t>
  </si>
  <si>
    <t>X specialty</t>
  </si>
  <si>
    <t>Appointments with x specialty - change to current practice</t>
  </si>
  <si>
    <t>Pathology/ radiology/ diagnostics</t>
  </si>
  <si>
    <t>Adverse events, various (cases)</t>
  </si>
  <si>
    <t>Adverse events - change to current practice</t>
  </si>
  <si>
    <t>Capacity impact (national prices)</t>
  </si>
  <si>
    <t>Base (non-London)</t>
  </si>
  <si>
    <t>Band</t>
  </si>
  <si>
    <t>Code</t>
  </si>
  <si>
    <t>AfC Salary</t>
  </si>
  <si>
    <t>NI (13.8%)</t>
  </si>
  <si>
    <t>Apprenticeship levy (0.5%)</t>
  </si>
  <si>
    <t>Pension (20.68%)</t>
  </si>
  <si>
    <t>Salary cost with oncosts</t>
  </si>
  <si>
    <t>HCAS</t>
  </si>
  <si>
    <t>Enhancements Mon-Fri</t>
  </si>
  <si>
    <t>Enhancements Sun</t>
  </si>
  <si>
    <t>Hourly rate</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</si>
  <si>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</si>
  <si>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</si>
  <si>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</si>
  <si>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</si>
  <si>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</si>
  <si>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</si>
  <si>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</si>
  <si>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</si>
  <si>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</si>
  <si>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</si>
  <si>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</si>
  <si>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</si>
  <si>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</si>
  <si>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</si>
  <si>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</si>
  <si>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</si>
  <si>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</si>
  <si>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</si>
  <si>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</si>
  <si>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</si>
  <si>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</si>
  <si>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</si>
  <si>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</si>
  <si>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</si>
  <si>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</si>
  <si>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</si>
  <si>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</si>
  <si>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</si>
  <si>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</si>
  <si>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</si>
  <si>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</si>
  <si>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</si>
  <si>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</si>
  <si>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</si>
  <si>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</si>
  <si>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</si>
  <si>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</si>
  <si>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</si>
  <si>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</si>
  <si>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</si>
  <si>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</si>
  <si>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</si>
  <si>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</si>
  <si>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</si>
  <si>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</si>
  <si>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</si>
  <si>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</si>
  <si>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</si>
  <si>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</si>
  <si>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</si>
  <si>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</si>
  <si>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</si>
  <si>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</si>
  <si>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</si>
  <si>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</si>
  <si>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</si>
  <si>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</si>
  <si>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</si>
  <si>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</si>
  <si>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</si>
  <si>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</si>
  <si>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</si>
  <si>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</si>
  <si>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</si>
  <si>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</si>
  <si>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</si>
  <si>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</si>
  <si>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</si>
  <si>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</si>
  <si>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</si>
  <si>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</si>
  <si>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</si>
  <si>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</si>
  <si>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</si>
  <si>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</si>
  <si>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</si>
  <si>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</si>
  <si>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</si>
  <si>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</si>
  <si>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</si>
  <si>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</si>
  <si>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</si>
  <si>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</si>
  <si>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</si>
  <si>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</si>
  <si>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</si>
  <si>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XR0704</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</si>
  <si>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</si>
  <si>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</si>
  <si>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</si>
  <si>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</si>
  <si>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</si>
  <si>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</si>
  <si>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</si>
  <si>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</si>
  <si>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</si>
  <si>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</si>
  <si>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</si>
  <si>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</si>
  <si>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</si>
  <si>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</si>
  <si>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</si>
  <si>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</si>
  <si>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</si>
  <si>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</si>
  <si>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</si>
  <si>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</si>
  <si>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</si>
  <si>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</si>
  <si>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</si>
  <si>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</si>
  <si>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</si>
  <si>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</si>
  <si>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</si>
  <si>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</si>
  <si>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</si>
  <si>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</si>
  <si>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</si>
  <si>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</si>
  <si>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</si>
  <si>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</si>
  <si>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</si>
  <si>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</si>
  <si>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</si>
  <si>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</si>
  <si>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</si>
  <si>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</si>
  <si>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</si>
  <si>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Average income before tax taken from contractor GP figure from</t>
  </si>
  <si>
    <t>GP Earnings and Expenses Estimates, 2021/22 - NHS Digital</t>
  </si>
  <si>
    <t>National Insurance</t>
  </si>
  <si>
    <t>Up to secondary threshold</t>
  </si>
  <si>
    <t>Above secondary threshold</t>
  </si>
  <si>
    <t>&gt; 9,100</t>
  </si>
  <si>
    <t>To be updated for NI changes Jan 2024</t>
  </si>
  <si>
    <t>Non medical staffing</t>
  </si>
  <si>
    <t>Day per year</t>
  </si>
  <si>
    <t>Annual leave/bank holidays</t>
  </si>
  <si>
    <t>Mandatory training</t>
  </si>
  <si>
    <t>Sickness at 4%</t>
  </si>
  <si>
    <t>Annual hours per year</t>
  </si>
  <si>
    <t>Sessions worked per week (4 hour sessions)</t>
  </si>
  <si>
    <t>Less SPA allowance (4 hour sessions)</t>
  </si>
  <si>
    <t>Hours of clinical work per year</t>
  </si>
  <si>
    <t>Weeks worked (net of annual leave/training leave)</t>
  </si>
  <si>
    <t>Number of working weeks per year</t>
  </si>
  <si>
    <t>Average working hours per week</t>
  </si>
  <si>
    <t>Total hours per year</t>
  </si>
  <si>
    <t>% of direct patient care</t>
  </si>
  <si>
    <t>Number of hours of direct patient care</t>
  </si>
  <si>
    <t>Hours above based on calculations below</t>
  </si>
  <si>
    <t>Staff time per test (minutes)</t>
  </si>
  <si>
    <t>Staff time per appointment (minutes)</t>
  </si>
  <si>
    <t>Costs (inc. on costs)</t>
  </si>
  <si>
    <t>Bottom, mid, top; 
band and point on scale</t>
  </si>
  <si>
    <t>Hours to calculate hourly rate</t>
  </si>
  <si>
    <t>Based on 2023/25 National Tariff Payment System -  24/25 prices</t>
  </si>
  <si>
    <r>
      <rPr>
        <b/>
        <sz val="11"/>
        <rFont val="Calibri"/>
        <family val="2"/>
        <scheme val="minor"/>
      </rPr>
      <t>Adult population</t>
    </r>
    <r>
      <rPr>
        <sz val="11"/>
        <rFont val="Calibri"/>
        <family val="2"/>
        <scheme val="minor"/>
      </rPr>
      <t xml:space="preserve"> forecast at year 5</t>
    </r>
  </si>
  <si>
    <t>England ICB</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</si>
  <si>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</si>
  <si>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</si>
  <si>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</si>
  <si>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</si>
  <si>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</si>
  <si>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</si>
  <si>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</si>
  <si>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</si>
  <si>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</si>
  <si>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</si>
  <si>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</si>
  <si>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</si>
  <si>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</si>
  <si>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</si>
  <si>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</si>
  <si>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</si>
  <si>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</si>
  <si>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</si>
  <si>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</si>
  <si>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</si>
  <si>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</si>
  <si>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</si>
  <si>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</si>
  <si>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</si>
  <si>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</si>
  <si>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</si>
  <si>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</si>
  <si>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</si>
  <si>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</si>
  <si>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</si>
  <si>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</si>
  <si>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</si>
  <si>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</si>
  <si>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</si>
  <si>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</si>
  <si>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</si>
  <si>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</si>
  <si>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</si>
  <si>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</si>
  <si>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</si>
  <si>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</si>
  <si>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</si>
  <si>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Cumberland</t>
  </si>
  <si>
    <t>North Northamptonshire</t>
  </si>
  <si>
    <t>North Yorkshire</t>
  </si>
  <si>
    <t>West Northamptonshire</t>
  </si>
  <si>
    <t>Westmorland and Furness</t>
  </si>
  <si>
    <t>5 year view</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</si>
  <si>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</si>
  <si>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</si>
  <si>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</si>
  <si>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</si>
  <si>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</si>
  <si>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</si>
  <si>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</si>
  <si>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</si>
  <si>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</si>
  <si>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</si>
  <si>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</si>
  <si>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</si>
  <si>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</si>
  <si>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</si>
  <si>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</si>
  <si>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10 year view</t>
  </si>
  <si>
    <t>10 year rates</t>
  </si>
  <si>
    <t>Value to use</t>
  </si>
  <si>
    <t>this column above</t>
  </si>
  <si>
    <t>Population specific growth rate</t>
  </si>
  <si>
    <t>Population % growth per year</t>
  </si>
  <si>
    <t>Disease rate % change per year</t>
  </si>
  <si>
    <t>Population above inflated to estimated 2024 value, current year</t>
  </si>
  <si>
    <t>Cancer</t>
  </si>
  <si>
    <t>Multiple myeloma</t>
  </si>
  <si>
    <t>Second-line  treatment for people whose condition is refractory</t>
  </si>
  <si>
    <t xml:space="preserve">to previous treatment with both daratumumab and lenalidomide. </t>
  </si>
  <si>
    <t>Third-line treatment for people whose condition is refractory</t>
  </si>
  <si>
    <t xml:space="preserve">to previous treatment with lenalidomide. </t>
  </si>
  <si>
    <t>Oral / Subcutaneous</t>
  </si>
  <si>
    <t>Secondary care - acute</t>
  </si>
  <si>
    <t>NHS England</t>
  </si>
  <si>
    <t>02I cancer,  Haematological</t>
  </si>
  <si>
    <t>90 days</t>
  </si>
  <si>
    <t>This template allows the resource impact to be modelled.  It allows users to tailor data to suit local circumstances. Blue cells are not locked.  Data can be entered or changed locally.</t>
  </si>
  <si>
    <t>Data in the blue cells are used throughout the worksheets to show a tailored resource impact. Where no entries are made in blue cells, NICE standard assumptions are used.</t>
  </si>
  <si>
    <t>To show key information</t>
  </si>
  <si>
    <t>Product size</t>
  </si>
  <si>
    <t>100mg orally once weekly on days 1, 8, 15, 22, and 29</t>
  </si>
  <si>
    <t>Selinexor</t>
  </si>
  <si>
    <t>oral</t>
  </si>
  <si>
    <t>packet</t>
  </si>
  <si>
    <t xml:space="preserve">1.3mg/m2 subcutaneously once weekly on days 1, 8, 15, and 22 </t>
  </si>
  <si>
    <t>Bortezomib</t>
  </si>
  <si>
    <t>Subcutaneous</t>
  </si>
  <si>
    <t>Vial</t>
  </si>
  <si>
    <t>20mg on days 1, 2, 8, 9, 15, 16, 22, 23, 29, and 30</t>
  </si>
  <si>
    <t>Dexamethasone</t>
  </si>
  <si>
    <t>Selinexor with bortezomib and dexamethasone (Year 1)</t>
  </si>
  <si>
    <t>Selinexor with bortezomib and dexamethasone (Year 2)</t>
  </si>
  <si>
    <t xml:space="preserve">25mg tablet once daily on days 1-21 per 28 day cycle </t>
  </si>
  <si>
    <t>Lenalidomide</t>
  </si>
  <si>
    <t>40mg on days 1, 8, 15, 22 (year 1)</t>
  </si>
  <si>
    <t>Lenalidomide and dexamethasone (Year 1)</t>
  </si>
  <si>
    <t>Cycle 1 20mg/m2 on days 1 and 2</t>
  </si>
  <si>
    <t>Carfilzomib</t>
  </si>
  <si>
    <t>IV</t>
  </si>
  <si>
    <t>Cycle 1 27mg/m2 on days 8, 9, 15 &amp; 16</t>
  </si>
  <si>
    <t>Cycle 2-12 27mg/m2 on days 1,2, 8, 9, 15 &amp; 16</t>
  </si>
  <si>
    <t>Cycle 13 27mg/m2 on days 1,2,15 &amp; 16</t>
  </si>
  <si>
    <t>40mg on days 1, 8, 15, 20</t>
  </si>
  <si>
    <t>Carfilzomib with dexamethasone and lenalidomide (Year 1)</t>
  </si>
  <si>
    <t>Cycle 14 27mg/m2 on days 1,2, 15 &amp; 16</t>
  </si>
  <si>
    <t>Carfilzomib with dexamethasone and lenalidomide (Year 2)</t>
  </si>
  <si>
    <t>Cycle 1 56mg/m2 on days 8, 9, 15 &amp; 17</t>
  </si>
  <si>
    <t>Cycle 2 56mg/m2 on days 1,2, 8, 9, 15 &amp; 17</t>
  </si>
  <si>
    <t>Carfilzomib and dexamethasone (Year 1)</t>
  </si>
  <si>
    <t>Carfilzomib and dexamethasone (Year 2)</t>
  </si>
  <si>
    <t>1,800mg weeks 1-9</t>
  </si>
  <si>
    <t>1,800mg every 3 weeks - weeks 10-24</t>
  </si>
  <si>
    <t>1,800mg every 4 weeks</t>
  </si>
  <si>
    <t xml:space="preserve">1,800mg every 4 weeks </t>
  </si>
  <si>
    <t>Daratumumab with bortezomib and dexamethasone (Year 2)</t>
  </si>
  <si>
    <t>4mg once a week on days 1, 8 and 15 of each 28 day cycle</t>
  </si>
  <si>
    <t>Ixazomib</t>
  </si>
  <si>
    <t>Ixazomib with dexamethasone and lenalidomide (Year 1)</t>
  </si>
  <si>
    <t>Ixazomib with dexamethasone and lenalidomide (Year 2)</t>
  </si>
  <si>
    <t>Selinexor is available with discounts to their list prices that are commercial in confidence, please contact the manufacturers for the discounted prices</t>
  </si>
  <si>
    <t>Selinexor with bortezomib and dexamethasone</t>
  </si>
  <si>
    <t>SB13Z</t>
  </si>
  <si>
    <t>SB13Z Deliver more complex parenteral chemotherapy at first Attendance</t>
  </si>
  <si>
    <t xml:space="preserve">Selinexor with bortezomib and dexamethasone </t>
  </si>
  <si>
    <t>SB15Z</t>
  </si>
  <si>
    <t>SB15Z Deliver Subsequent Elements of a Chemotherapy Cycle</t>
  </si>
  <si>
    <t xml:space="preserve">Lenalidomide and dexamethasone </t>
  </si>
  <si>
    <t>SB11Z</t>
  </si>
  <si>
    <t>SB11Z Deliver Exclusively Oral Chemotherapy</t>
  </si>
  <si>
    <t>Carfilzomib and dexamethasone and lenalidomide</t>
  </si>
  <si>
    <t>Carfilzomib and dexamethasone</t>
  </si>
  <si>
    <t>Daratumumab, bortezomib and dexamethasone</t>
  </si>
  <si>
    <t>Ixazomib and dexamethasone and lenalidomide</t>
  </si>
  <si>
    <t>NHS England » 2023-25 NHS Payment Scheme (amended)</t>
  </si>
  <si>
    <t>First attendances</t>
  </si>
  <si>
    <t>WF01B</t>
  </si>
  <si>
    <t>First Attendance - Single Professional.  TFC 303</t>
  </si>
  <si>
    <t>Follow up attendances</t>
  </si>
  <si>
    <t>WF01A</t>
  </si>
  <si>
    <t>Follow Up Attendance - Single Professional.  TFC 303</t>
  </si>
  <si>
    <t>First Attendance - Single Professional.  TFC x &lt;specialty&gt;</t>
  </si>
  <si>
    <t>Adverse events, annual costs and rates (Second line)</t>
  </si>
  <si>
    <t>National prices</t>
  </si>
  <si>
    <t>Local prices</t>
  </si>
  <si>
    <t>People receiving Selinexor with bortezomib and dexamethasone</t>
  </si>
  <si>
    <t>People receiving Lenalidomide plus dexamethasone</t>
  </si>
  <si>
    <t>People receiving Carfilzomib with dexamethasone and lenalidomide</t>
  </si>
  <si>
    <t>People receiving Carfilzomib and dexamethasone</t>
  </si>
  <si>
    <t>People receiving Daratumumab with bortezomib and dexamethasone</t>
  </si>
  <si>
    <t>Anaemia</t>
  </si>
  <si>
    <t>Asthenia</t>
  </si>
  <si>
    <t>Cataract</t>
  </si>
  <si>
    <t>Diarrhoea</t>
  </si>
  <si>
    <t>Fatigue</t>
  </si>
  <si>
    <t>Febrile neutropenia</t>
  </si>
  <si>
    <t>Hypertension</t>
  </si>
  <si>
    <t>Hypophosphataemia</t>
  </si>
  <si>
    <t>Leukopenia</t>
  </si>
  <si>
    <t>Lymphopenia</t>
  </si>
  <si>
    <t>Lower respiratory tract infection</t>
  </si>
  <si>
    <t>Nausea</t>
  </si>
  <si>
    <t>Neutropenia</t>
  </si>
  <si>
    <t>Hyperglycaemia</t>
  </si>
  <si>
    <t>Peripheral neuropathy</t>
  </si>
  <si>
    <t>Pneumonia</t>
  </si>
  <si>
    <t>Thrombocytopenia</t>
  </si>
  <si>
    <t>Adverse events, annual costs and rates (Third line)</t>
  </si>
  <si>
    <t>People receiving Ixazomib with dexamethasone and lenalidomide</t>
  </si>
  <si>
    <t>People receiving panobinostat with bortezomib and dexamethasone</t>
  </si>
  <si>
    <t>Adverse events at local prices are currently costed at 80% of the HRG.</t>
  </si>
  <si>
    <t>Average costs of adverse events uses a simplistic weighting between primary care and secondary care use.</t>
  </si>
  <si>
    <t>Uptake rate for selinexor with bortezomib and dexamethasone (%)</t>
  </si>
  <si>
    <t>Population receiving selinexor with bortezomib and dexamethasone each year</t>
  </si>
  <si>
    <t>People receiving the treatment options (Second line)</t>
  </si>
  <si>
    <t>People receiving the treatment options (Third line)</t>
  </si>
  <si>
    <t>Financial resource impact (Second Line)</t>
  </si>
  <si>
    <t>Financial resource impact (Third Line)</t>
  </si>
  <si>
    <t>People receiving selinexor with bortezomib and dexamethasone SB13Z</t>
  </si>
  <si>
    <t>People receiving selinexor with bortezomib and dexamethasone SB15Z</t>
  </si>
  <si>
    <t>People receiving carfilzomib and dexamethasone SB13Z</t>
  </si>
  <si>
    <t>People receiving carfilzomib and dexamethasone SB15Z</t>
  </si>
  <si>
    <t>People receiving daratumumab with bortezomib and dexamethasone SB13Z</t>
  </si>
  <si>
    <t>People receiving daratumumab with bortezomib and dexamethasone SB15Z</t>
  </si>
  <si>
    <t xml:space="preserve">People receiving selinexor with bortezomib and dexamethasone SB15Z </t>
  </si>
  <si>
    <t>People receiving Ixazomib with dexamethasone and lenalidomide SB11Z</t>
  </si>
  <si>
    <t>People receiving panobinostat with bortezomib and dexamethasone SB13Z</t>
  </si>
  <si>
    <t>People receiving panobinostat with bortezomib and dexamethasone SB15Z</t>
  </si>
  <si>
    <t>Full blood count - number of</t>
  </si>
  <si>
    <t>Biochemistry tests - change in number of</t>
  </si>
  <si>
    <t>Immunoglobulin - change in number of</t>
  </si>
  <si>
    <t>Protein electrophoresis tests - change in number of</t>
  </si>
  <si>
    <t>Cash items (Second Line)</t>
  </si>
  <si>
    <t>Drugs - people receiving treatment options (Second Line)</t>
  </si>
  <si>
    <t>Drugs - resource impact (Second Line)</t>
  </si>
  <si>
    <t>People receiving selinexor with bortezomib and dexamethasone (Year 1)</t>
  </si>
  <si>
    <t>People receiving selinexor with bortezomib and dexamethasone (Year 2)</t>
  </si>
  <si>
    <t>People receiving carfilzomib and dexamethasone (Year 1)</t>
  </si>
  <si>
    <t>People receiving carfilzomib and dexamethasone (Year 2)</t>
  </si>
  <si>
    <t>Drug resource impact cash (Second Line)</t>
  </si>
  <si>
    <t>Increase in cost to current practice (Second Line)</t>
  </si>
  <si>
    <t>Drug resource impact (cash) year on year (Second Line)</t>
  </si>
  <si>
    <t>Cash items (Third Line)</t>
  </si>
  <si>
    <t>Drugs - people receiving treatment options (Third Line)</t>
  </si>
  <si>
    <t>Drugs - resource impact (Third Line)</t>
  </si>
  <si>
    <t>Drug resource impact cash (Third Line)</t>
  </si>
  <si>
    <t>Increase in cost to current practice (Third Line)</t>
  </si>
  <si>
    <t>Drug resource impact (cash) year on year (Third Line)</t>
  </si>
  <si>
    <t>Full blood count</t>
  </si>
  <si>
    <t>Biochemistry tests</t>
  </si>
  <si>
    <t>Immunoglobulin</t>
  </si>
  <si>
    <t>Protein electrophoresis tests</t>
  </si>
  <si>
    <t>Attendances</t>
  </si>
  <si>
    <t>People receiving selinexor with bortezomib and dexamethasone SB13Z (Year 1)</t>
  </si>
  <si>
    <t>People receiving selinexor with bortezomib and dexamethasone SB15Z (Year 1)</t>
  </si>
  <si>
    <t>People receiving selinexor with bortezomib and dexamethasone SB13Z (Year 2)</t>
  </si>
  <si>
    <t>People receiving selinexor with bortezomib and dexamethasone SB15Z (Year 2)</t>
  </si>
  <si>
    <t>People receiving Lenalidomide plus dexamethasone SB11Z (Year 1)</t>
  </si>
  <si>
    <t>People receiving carfilzomib and dexamethasone SB13Z (Year 1)</t>
  </si>
  <si>
    <t>People receiving carfilzomib and dexamethasone SB15Z (Year 1)</t>
  </si>
  <si>
    <t>People receiving carfilzomib and dexamethasone SB13Z (Year 2)</t>
  </si>
  <si>
    <t>People receiving carfilzomib and dexamethasone SB15Z (Year 2)</t>
  </si>
  <si>
    <t>People receiving daratumumab with bortezomib and dexamethasone SB13Z (Year 1)</t>
  </si>
  <si>
    <t>People receiving daratumumab with bortezomib and dexamethasone SB15Z (Year 1)</t>
  </si>
  <si>
    <t>People receiving daratumumab with bortezomib and dexamethasone SB15Z (Year 2)</t>
  </si>
  <si>
    <t>People receiving olaparib with abiraterone and prednisolone</t>
  </si>
  <si>
    <t>People receiving abiraterone with prednisolone</t>
  </si>
  <si>
    <t>People receiving enzalutamide</t>
  </si>
  <si>
    <t>Full blood count - change in number to current practice</t>
  </si>
  <si>
    <t>Number of biochemistry tests</t>
  </si>
  <si>
    <t>Biochemistry tests - change in number to current practice</t>
  </si>
  <si>
    <t>Immunoglobulin tests</t>
  </si>
  <si>
    <t>Number of immunoglobulin tests</t>
  </si>
  <si>
    <t>Immunoglobulin tests - change in number to current practice</t>
  </si>
  <si>
    <t>Protein electrophoresis</t>
  </si>
  <si>
    <t>Number of protein electrophoresis</t>
  </si>
  <si>
    <t>Protein electrophoresis - change in number to current practice</t>
  </si>
  <si>
    <t>change in number of attendances current practice</t>
  </si>
  <si>
    <t>Incidence of multiple myeloma</t>
  </si>
  <si>
    <t>Proportion of people who have first line treatment</t>
  </si>
  <si>
    <t>Proportion of people who have second line treatment</t>
  </si>
  <si>
    <t>Proportion of people who have third line treatment</t>
  </si>
  <si>
    <t>Cancer Registration Statistics, England 2019 - NHS Digital C90 Multiple myeloma and malignant plasma cell neoplasms age 20 and over</t>
  </si>
  <si>
    <t>Yong K, Delforge M, Driessen C, et al.[2016] Multiple myeloma: patient outcomes in real-world practice. Br J Haematol. 2016;175(2):252-264.</t>
  </si>
  <si>
    <t>Company</t>
  </si>
  <si>
    <t>1 x 3.5mg vial</t>
  </si>
  <si>
    <t>eMIT</t>
  </si>
  <si>
    <t>50 x 8mg tablets</t>
  </si>
  <si>
    <t>21 x 25mg vial</t>
  </si>
  <si>
    <t>1 x 30mg vial</t>
  </si>
  <si>
    <t>Daratumumab</t>
  </si>
  <si>
    <t>1 x 1,800 mg vial</t>
  </si>
  <si>
    <t xml:space="preserve">3 x 4mg capsules </t>
  </si>
  <si>
    <t>Panobinostat</t>
  </si>
  <si>
    <t>6 x 20mg capsules</t>
  </si>
  <si>
    <t>Market Shares second line</t>
  </si>
  <si>
    <t>Market Shares third line</t>
  </si>
  <si>
    <t>Future practice estimates based on consultant haematologist opinion</t>
  </si>
  <si>
    <t>Haematologist appointment</t>
  </si>
  <si>
    <t>per patient per year</t>
  </si>
  <si>
    <t>Number of full blood count</t>
  </si>
  <si>
    <t>Number of immunoglobulin</t>
  </si>
  <si>
    <t>See unit cost tab</t>
  </si>
  <si>
    <t>Number of full blood counts as per company submission</t>
  </si>
  <si>
    <t>Number of biochemistry/immunoglobulin tests as per company submission</t>
  </si>
  <si>
    <t>Number of protein electrophoresis as per company submission</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</si>
  <si>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</si>
  <si>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</si>
  <si>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</si>
  <si>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</si>
  <si>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</si>
  <si>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</si>
  <si>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</si>
  <si>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</si>
  <si>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</si>
  <si>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</si>
  <si>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People receiving Ixazomib with dexamethasone and lenalidomide SB11Z (Year 1)</t>
  </si>
  <si>
    <t>People receiving Ixazomib with dexamethasone and lenalidomide SB11Z (Year 2)</t>
  </si>
  <si>
    <t>People receiving panobinostat with bortezomib and dexamethasone SB13Z (Year 1)</t>
  </si>
  <si>
    <t>People receiving panobinostat with bortezomib and dexamethasone SB15Z (Year 1)</t>
  </si>
  <si>
    <t xml:space="preserve">Due to TA917 daratumumab with lenalidomide and dexamethasone for untreated multiple myeloma when a stem cell transplant is unsuitable publishing in October 2023 the use of selinexor with bortezomib and dexamethasone is expected to increase over time </t>
  </si>
  <si>
    <t>Approximate current usage from NHS England estimates that 1,962 people will start first line treatment with daratumumab with lenalidomide and dexamethasone each year.</t>
  </si>
  <si>
    <t>Of those patients refractory to daratumumab and lenalidomide the market share at second line is assumed to be split evenly between selinexor with bortezomib and dexamethasone and carfilzomib and dexamethasone. Users can amend to reflect local practice</t>
  </si>
  <si>
    <t xml:space="preserve">Rates of adverse events and costs, based on EAG model. </t>
  </si>
  <si>
    <t xml:space="preserve">Adverse event rates at second line for lenalidomide plus dexamethasone and carfilzomib with dexamethasone and lenalidomide are assumed to be the same as carfilzomib and dexamethasone. Users can amend to reflect local assumptions.  </t>
  </si>
  <si>
    <t xml:space="preserve">Adverse event rates at third line for lenalidomide plus dexamethasone are assumed to be the same as selinexor with bortezomib and dexamethasone. Users can amend to reflect local assumptions.  </t>
  </si>
  <si>
    <t>Proportion of people receiving daratumumab with lenalidomide and dexamethasone at first line</t>
  </si>
  <si>
    <t>Total second line population</t>
  </si>
  <si>
    <t>Total third line population</t>
  </si>
  <si>
    <t>Proportion of people receiving other treatment at first line</t>
  </si>
  <si>
    <t>Difference between Yong et al 2016 study cell H28 and Approximate current usage (Reference  Internal communication NHS England) cell H29</t>
  </si>
  <si>
    <t>People receiving selinexor with bortezomib and dexamethasone</t>
  </si>
  <si>
    <t>People receiving lenalidomide plus dexamethasone</t>
  </si>
  <si>
    <t>People receiving carfilzomib and dexamethasone</t>
  </si>
  <si>
    <t>People receiving daratumumab with bortezomib and dexamethasone</t>
  </si>
  <si>
    <t>People receiving ixazomib with dexamethasone and lenalidomide</t>
  </si>
  <si>
    <t>Unit cost</t>
  </si>
  <si>
    <t>worksheet</t>
  </si>
  <si>
    <t>Approximate current usage. Reference Internal communication NHS England</t>
  </si>
  <si>
    <t>People receiving lenalidomide plus dexamethasone SB11Z</t>
  </si>
  <si>
    <t>People receiving carfilzomib with dexamethasone and lenalidomide SB13Z</t>
  </si>
  <si>
    <t>People receiving carfilzomib with dexamethasone and lenalidomide SB15Z</t>
  </si>
  <si>
    <t>People receiving carfilzomib with dexamethasone and lenalidomide SB11Z</t>
  </si>
  <si>
    <t>People receiving carfilzomib with dexamethasone and lenalidomide</t>
  </si>
  <si>
    <t>People receiving lenalidomide plus dexamethasone (Year 1)</t>
  </si>
  <si>
    <t>People receiving carfilzomib with dexamethasone and lenalidomide (Year 1)</t>
  </si>
  <si>
    <t>People receiving carfilzomib with dexamethasone and lenalidomide (Year 2)</t>
  </si>
  <si>
    <t>People receiving daratumumab with bortezomib and dexamethasone (Year 1)</t>
  </si>
  <si>
    <t>People receiving daratumumab with bortezomib and dexamethasone (Year 2)</t>
  </si>
  <si>
    <t>People receiving panobinostat with bortezomib and dexamethasone (Year 1)</t>
  </si>
  <si>
    <t>People receiving ixazomib with dexamethasone and lenalidomide (Year 1)</t>
  </si>
  <si>
    <t>People receiving ixazomib with dexamethasone and lenalidomide (Year 2)</t>
  </si>
  <si>
    <t>People receiving carfilzomib with dexamethasone and lenalidomide SB13Z (Year 1)</t>
  </si>
  <si>
    <t>People receiving carfilzomib with dexamethasone and lenalidomide SB15Z (Year 1)</t>
  </si>
  <si>
    <t>People receiving carfilzomib with dexamethasone and lenalidomide SB11Z (Year 2)</t>
  </si>
  <si>
    <t>People receiving carfilzomib with dexamethasone and lenalidomide SB15Z (Year 2)</t>
  </si>
  <si>
    <r>
      <t xml:space="preserve">People receiving selinexor with bortezomib and dexamethasone </t>
    </r>
    <r>
      <rPr>
        <b/>
        <sz val="11"/>
        <color theme="1"/>
        <rFont val="Calibri"/>
        <family val="2"/>
        <scheme val="minor"/>
      </rPr>
      <t>(option when refractory to daratumumab and lenalidomide)</t>
    </r>
  </si>
  <si>
    <r>
      <t xml:space="preserve">People receiving panobinostat with bortezomib and dexamethasone </t>
    </r>
    <r>
      <rPr>
        <b/>
        <sz val="11"/>
        <color theme="1"/>
        <rFont val="Calibri"/>
        <family val="2"/>
        <scheme val="minor"/>
      </rPr>
      <t>(option when refractory to lenalidomide)</t>
    </r>
  </si>
  <si>
    <r>
      <t xml:space="preserve">People receiving selinexor with bortezomib and dexamethasone </t>
    </r>
    <r>
      <rPr>
        <b/>
        <sz val="11"/>
        <color theme="1"/>
        <rFont val="Calibri"/>
        <family val="2"/>
        <scheme val="minor"/>
      </rPr>
      <t>(option when refractory to lenalidomide)</t>
    </r>
  </si>
  <si>
    <r>
      <t xml:space="preserve">People receiving carfilzomib and dexamethasone </t>
    </r>
    <r>
      <rPr>
        <b/>
        <sz val="11"/>
        <color theme="1"/>
        <rFont val="Calibri"/>
        <family val="2"/>
        <scheme val="minor"/>
      </rPr>
      <t>(option when refractory to daratumumab and lenalidomide)</t>
    </r>
  </si>
  <si>
    <t>People receiving lenalidomide plus dexamethasone SB11Z (Year 1)</t>
  </si>
  <si>
    <t>People receiving ixazomib with dexamethasone and lenalidomide SB11Z (Year 1)</t>
  </si>
  <si>
    <t>People receiving ixazomib with dexamethasone and lenalidomide SB11Z (Year 2)</t>
  </si>
  <si>
    <t>Published: May 2024</t>
  </si>
  <si>
    <t xml:space="preserve">Selinexor with bortezomib and </t>
  </si>
  <si>
    <t>dexamethasone for previously</t>
  </si>
  <si>
    <t>treated multiple myeloma</t>
  </si>
  <si>
    <t>Population and uptake (Second line)</t>
  </si>
  <si>
    <t>Population and uptake (Third line)</t>
  </si>
  <si>
    <t xml:space="preserve">Population </t>
  </si>
  <si>
    <t>Population (Second line)</t>
  </si>
  <si>
    <t>Population (Third line)</t>
  </si>
  <si>
    <t>Some people who currently receive panobinostat plus bortezomib and dexamethasone are not expected to be refractory to lenalidomide, and are therefore not eligible for selinexor with bortezomib and dexamethasone.</t>
  </si>
  <si>
    <t>20 x 20mg tablets</t>
  </si>
  <si>
    <t>People receiving panobinostat with bortezomib and dexamethasone (Year 2)</t>
  </si>
  <si>
    <t>People receiving panobinostat with bortezomib and dexamethasone SB15Z (Year 2)</t>
  </si>
  <si>
    <r>
      <t>The Phase 3 Maia Study</t>
    </r>
    <r>
      <rPr>
        <sz val="11"/>
        <rFont val="Calibri"/>
        <family val="2"/>
      </rPr>
      <t xml:space="preserve"> highlighted that after a follow up for 47.9 months, (48%) 85 out of 176 patients had discontinued treatment due to progressive disease and therefore would fit the criteria of being refractory</t>
    </r>
  </si>
  <si>
    <t>Current practice based on approximate current usage. Reference Internal communication NHS England</t>
  </si>
  <si>
    <t>Adverse events data from EAG model. Based on HRG costs</t>
  </si>
  <si>
    <t>20mg orally 6 tablets per 3 week cycle</t>
  </si>
  <si>
    <t>(TA974)</t>
  </si>
  <si>
    <t>Selinexor with bortezomib and dexamethasone for previously treated multiple myeloma 
(TA974)</t>
  </si>
  <si>
    <t>Approximate current usage. Reference Internal communication NHS England (Clinical expert opinion)</t>
  </si>
  <si>
    <t>Panobinostab with bortezomib and dexamethasone tretament duration based on expert opinion</t>
  </si>
  <si>
    <t>Treatment duration for lenalidomide and dexamethasone, dartumumab with bortezomib and dexamethasone, carfilzomib with dexamethasone and lenalidomide based on TA897</t>
  </si>
  <si>
    <t>Duration of treatments as per mean treatment duration from company submission except below.</t>
  </si>
  <si>
    <t>per patient/yr.</t>
  </si>
  <si>
    <t>Panobinostat, bortezomib and dexamethasone</t>
  </si>
  <si>
    <t>Daratumumab with bortezomib and dexamethasone (Year 1)</t>
  </si>
  <si>
    <t>Panobinostat with bortezomib and dexamethasone (Year 1)</t>
  </si>
  <si>
    <t>Panobinostat with bortezomib and dexamethasone (Year 2)</t>
  </si>
  <si>
    <t>Appointments based on company submission, times for appointments should be adjustd locally</t>
  </si>
  <si>
    <t>Time per patient (mins)</t>
  </si>
  <si>
    <t>First attendances - hours</t>
  </si>
  <si>
    <t>First attendances - number of appointments</t>
  </si>
  <si>
    <t>Follow up attendances - number of appointments</t>
  </si>
  <si>
    <t>Follow up attendances - hours</t>
  </si>
  <si>
    <t>pharmacy (including aseptics)</t>
  </si>
  <si>
    <t>Capacity impact on pharmacy (including aseptics)</t>
  </si>
  <si>
    <t>Drug regimen prep (hours) (including aseptics)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</si>
</sst>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_-* #,##0.0_-;\-* #,##0.0_-;_-* &quot;-&quot;??_-;_-@_-"/>
  </numFmts>
  <fonts count="8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sz val="11"/>
      <color indexed="81"/>
      <name val="Calibri"/>
      <family val="2"/>
    </font>
    <font>
      <b/>
      <sz val="10"/>
      <name val="Arial"/>
      <family val="2"/>
    </font>
    <font>
      <u/>
      <sz val="10"/>
      <color theme="10"/>
      <name val="Arial"/>
      <family val="2"/>
    </font>
    <font>
      <sz val="10"/>
      <color rgb="FF000000"/>
      <name val="Arial"/>
      <family val="2"/>
    </font>
    <font>
      <i/>
      <sz val="11"/>
      <color theme="1"/>
      <name val="Calibri"/>
      <family val="2"/>
      <scheme val="minor"/>
    </font>
    <font>
      <i/>
      <sz val="11"/>
      <name val="Calibri"/>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rgb="FF000000"/>
      </right>
      <top style="thin">
        <color rgb="FF000000"/>
      </top>
      <bottom style="thin">
        <color rgb="FF000000"/>
      </bottom>
      <diagonal/>
    </border>
    <border>
      <left/>
      <right style="thin">
        <color rgb="FF000000"/>
      </right>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10">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3"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0" fontId="44" fillId="24" borderId="11" xfId="0"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0" fontId="46" fillId="0" borderId="0" xfId="82" applyFont="1" applyAlignment="1">
      <alignment vertical="top"/>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6" fillId="0" borderId="17" xfId="82" applyFont="1" applyBorder="1"/>
    <xf numFmtId="0" fontId="46" fillId="0" borderId="20"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0" fontId="27" fillId="24" borderId="11" xfId="0" quotePrefix="1" applyFont="1" applyFill="1" applyBorder="1" applyAlignment="1">
      <alignment horizontal="center"/>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4" fontId="0" fillId="39" borderId="11" xfId="0" applyNumberFormat="1" applyFill="1" applyBorder="1"/>
    <xf numFmtId="165" fontId="0" fillId="0" borderId="11" xfId="0" applyNumberFormat="1" applyBorder="1"/>
    <xf numFmtId="165" fontId="44" fillId="0" borderId="11" xfId="0" applyNumberFormat="1" applyFont="1" applyBorder="1"/>
    <xf numFmtId="0" fontId="44" fillId="0" borderId="12" xfId="82" applyFont="1" applyBorder="1"/>
    <xf numFmtId="0" fontId="0" fillId="40" borderId="0" xfId="0" applyFill="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44" borderId="20" xfId="0" applyNumberFormat="1" applyFill="1" applyBorder="1"/>
    <xf numFmtId="0" fontId="0" fillId="44" borderId="20" xfId="0" applyFill="1" applyBorder="1" applyAlignment="1">
      <alignment horizontal="center"/>
    </xf>
    <xf numFmtId="164" fontId="0" fillId="44" borderId="20" xfId="0" applyNumberFormat="1" applyFill="1" applyBorder="1"/>
    <xf numFmtId="0" fontId="0" fillId="44"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48" fillId="44" borderId="12" xfId="0" applyFont="1" applyFill="1" applyBorder="1" applyAlignment="1">
      <alignment horizontal="left" vertical="center"/>
    </xf>
    <xf numFmtId="0" fontId="39" fillId="44" borderId="0" xfId="82" applyFont="1" applyFill="1"/>
    <xf numFmtId="0" fontId="48" fillId="42" borderId="12" xfId="0" applyFont="1" applyFill="1" applyBorder="1" applyAlignment="1">
      <alignment horizontal="left" vertical="center"/>
    </xf>
    <xf numFmtId="0" fontId="39" fillId="42" borderId="0" xfId="82" applyFont="1" applyFill="1"/>
    <xf numFmtId="0" fontId="48" fillId="31" borderId="12" xfId="0" applyFont="1" applyFill="1" applyBorder="1" applyAlignment="1">
      <alignment horizontal="left" vertical="center"/>
    </xf>
    <xf numFmtId="0" fontId="0" fillId="0" borderId="34" xfId="0" applyBorder="1"/>
    <xf numFmtId="0" fontId="0" fillId="45" borderId="0" xfId="0" applyFill="1"/>
    <xf numFmtId="0" fontId="48"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39" fillId="45" borderId="17" xfId="0" applyFont="1" applyFill="1"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0" fontId="62"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9" fontId="0" fillId="0" borderId="34"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63" fillId="0" borderId="0" xfId="0" applyFont="1"/>
    <xf numFmtId="0" fontId="64" fillId="0" borderId="0" xfId="0" applyFont="1" applyAlignment="1">
      <alignment vertical="center" wrapText="1"/>
    </xf>
    <xf numFmtId="0" fontId="0" fillId="44" borderId="17" xfId="0" applyFill="1" applyBorder="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7" fillId="39" borderId="11" xfId="0" applyFont="1" applyFill="1" applyBorder="1" applyAlignment="1">
      <alignment horizontal="center" vertical="center" wrapText="1"/>
    </xf>
    <xf numFmtId="0" fontId="67" fillId="0" borderId="0" xfId="0" applyFont="1" applyAlignment="1">
      <alignment horizontal="center" vertical="center"/>
    </xf>
    <xf numFmtId="0" fontId="68"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9" fillId="37" borderId="20" xfId="0" applyFont="1" applyFill="1" applyBorder="1" applyAlignment="1">
      <alignment horizontal="left"/>
    </xf>
    <xf numFmtId="0" fontId="0" fillId="41" borderId="17" xfId="0" applyFill="1" applyBorder="1"/>
    <xf numFmtId="0" fontId="0" fillId="45"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5" borderId="12" xfId="0" applyFont="1" applyFill="1" applyBorder="1" applyAlignment="1">
      <alignment horizontal="left"/>
    </xf>
    <xf numFmtId="0" fontId="39" fillId="45"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4" xfId="0" applyFill="1" applyBorder="1"/>
    <xf numFmtId="0" fontId="44" fillId="24" borderId="13" xfId="0" applyFont="1" applyFill="1" applyBorder="1"/>
    <xf numFmtId="0" fontId="39"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4" fillId="24" borderId="11" xfId="0" applyFont="1" applyFill="1" applyBorder="1" applyAlignment="1">
      <alignment horizontal="center" wrapText="1"/>
    </xf>
    <xf numFmtId="0" fontId="0" fillId="45" borderId="11" xfId="0" applyFill="1" applyBorder="1" applyAlignment="1">
      <alignment horizontal="center"/>
    </xf>
    <xf numFmtId="0" fontId="0" fillId="41" borderId="11" xfId="0" applyFill="1" applyBorder="1" applyAlignment="1">
      <alignment horizontal="center"/>
    </xf>
    <xf numFmtId="2" fontId="0" fillId="42"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39" fillId="37" borderId="34"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3" borderId="14" xfId="0" applyFill="1" applyBorder="1"/>
    <xf numFmtId="0" fontId="39" fillId="45" borderId="10" xfId="0" applyFont="1"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46" fillId="42" borderId="12" xfId="82" applyFont="1" applyFill="1" applyBorder="1"/>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5" borderId="17" xfId="0" applyNumberFormat="1" applyFont="1" applyFill="1" applyBorder="1"/>
    <xf numFmtId="3" fontId="44" fillId="42"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0" borderId="0" xfId="82" applyFont="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4" borderId="12" xfId="82" applyFont="1" applyFill="1" applyBorder="1"/>
    <xf numFmtId="0" fontId="6" fillId="25" borderId="0" xfId="82" applyFont="1" applyFill="1"/>
    <xf numFmtId="0" fontId="48" fillId="24" borderId="20" xfId="82" applyFont="1" applyFill="1" applyBorder="1" applyAlignment="1">
      <alignment horizontal="center"/>
    </xf>
    <xf numFmtId="0" fontId="48" fillId="24" borderId="20" xfId="82" applyFont="1" applyFill="1" applyBorder="1" applyAlignment="1">
      <alignment horizontal="left"/>
    </xf>
    <xf numFmtId="0" fontId="48" fillId="0" borderId="11" xfId="0" applyFont="1" applyBorder="1" applyAlignment="1">
      <alignment horizontal="left"/>
    </xf>
    <xf numFmtId="0" fontId="67" fillId="39" borderId="11" xfId="0" applyFont="1" applyFill="1" applyBorder="1" applyAlignment="1">
      <alignment horizontal="center" vertical="center"/>
    </xf>
    <xf numFmtId="0" fontId="0" fillId="0" borderId="36"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7" fillId="24" borderId="0" xfId="0" applyFont="1" applyFill="1" applyAlignment="1">
      <alignment horizontal="center" vertical="center"/>
    </xf>
    <xf numFmtId="0" fontId="67"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7" fillId="24" borderId="14" xfId="0" applyFont="1" applyFill="1" applyBorder="1" applyAlignment="1">
      <alignment horizontal="center" vertical="center"/>
    </xf>
    <xf numFmtId="0" fontId="27" fillId="24" borderId="14" xfId="0" applyFont="1" applyFill="1" applyBorder="1"/>
    <xf numFmtId="0" fontId="0" fillId="24" borderId="36"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6" fillId="24" borderId="15" xfId="82" applyFont="1" applyFill="1" applyBorder="1"/>
    <xf numFmtId="0" fontId="6" fillId="24" borderId="16" xfId="82" applyFont="1" applyFill="1" applyBorder="1"/>
    <xf numFmtId="0" fontId="46" fillId="24" borderId="16" xfId="82" applyFont="1" applyFill="1" applyBorder="1" applyAlignment="1">
      <alignment horizontal="center"/>
    </xf>
    <xf numFmtId="3" fontId="0" fillId="0" borderId="0" xfId="0" applyNumberFormat="1" applyAlignment="1">
      <alignment horizontal="right"/>
    </xf>
    <xf numFmtId="165" fontId="0" fillId="0" borderId="0" xfId="0" applyNumberFormat="1"/>
    <xf numFmtId="0" fontId="59" fillId="0" borderId="0" xfId="82" applyFont="1" applyAlignment="1">
      <alignment horizontal="center"/>
    </xf>
    <xf numFmtId="0" fontId="59" fillId="0" borderId="0" xfId="110" applyFont="1" applyAlignment="1">
      <alignment horizontal="left" vertical="center" wrapText="1"/>
    </xf>
    <xf numFmtId="170" fontId="46" fillId="0" borderId="11" xfId="82" applyNumberFormat="1" applyFont="1" applyBorder="1"/>
    <xf numFmtId="170" fontId="46" fillId="0" borderId="0" xfId="82" applyNumberFormat="1" applyFont="1"/>
    <xf numFmtId="0" fontId="0" fillId="25" borderId="0" xfId="0" applyFill="1"/>
    <xf numFmtId="170" fontId="46" fillId="25" borderId="0" xfId="82" applyNumberFormat="1" applyFont="1" applyFill="1"/>
    <xf numFmtId="3" fontId="0" fillId="25" borderId="0" xfId="0" applyNumberFormat="1" applyFill="1" applyAlignment="1">
      <alignment horizontal="right"/>
    </xf>
    <xf numFmtId="0" fontId="72" fillId="0" borderId="0" xfId="82" applyFont="1"/>
    <xf numFmtId="165" fontId="46" fillId="0" borderId="22" xfId="56" applyNumberFormat="1" applyFont="1" applyBorder="1" applyAlignment="1" applyProtection="1">
      <alignment horizontal="right" wrapText="1"/>
    </xf>
    <xf numFmtId="165" fontId="46" fillId="0" borderId="11" xfId="56" applyNumberFormat="1" applyFont="1" applyBorder="1" applyProtection="1"/>
    <xf numFmtId="164" fontId="6" fillId="0" borderId="0" xfId="82" applyNumberFormat="1" applyFont="1" applyAlignment="1">
      <alignment horizontal="right"/>
    </xf>
    <xf numFmtId="0" fontId="71" fillId="0" borderId="11" xfId="0" applyFont="1" applyBorder="1" applyAlignment="1">
      <alignment wrapText="1"/>
    </xf>
    <xf numFmtId="3" fontId="71" fillId="0" borderId="11" xfId="0" applyNumberFormat="1" applyFont="1" applyBorder="1"/>
    <xf numFmtId="9" fontId="71" fillId="0" borderId="11" xfId="0" applyNumberFormat="1" applyFont="1" applyBorder="1"/>
    <xf numFmtId="0" fontId="71" fillId="0" borderId="11" xfId="0" applyFont="1" applyBorder="1" applyAlignment="1">
      <alignment horizontal="right"/>
    </xf>
    <xf numFmtId="0" fontId="70" fillId="0" borderId="0" xfId="0" applyFont="1"/>
    <xf numFmtId="10" fontId="71"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7" fillId="0" borderId="11" xfId="92" applyFont="1" applyFill="1" applyBorder="1" applyAlignment="1" applyProtection="1">
      <alignment horizontal="right" vertical="center"/>
      <protection locked="0"/>
    </xf>
    <xf numFmtId="0" fontId="70" fillId="0" borderId="11" xfId="0" applyFont="1" applyBorder="1" applyAlignment="1">
      <alignment horizontal="center" wrapText="1"/>
    </xf>
    <xf numFmtId="0" fontId="44"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70" fillId="48" borderId="11" xfId="0" applyFont="1" applyFill="1" applyBorder="1" applyAlignment="1">
      <alignment horizontal="center" wrapText="1"/>
    </xf>
    <xf numFmtId="0" fontId="44" fillId="48" borderId="11" xfId="0" applyFont="1" applyFill="1" applyBorder="1" applyAlignment="1">
      <alignment horizontal="center" wrapText="1"/>
    </xf>
    <xf numFmtId="170" fontId="46" fillId="0" borderId="11" xfId="57" applyNumberFormat="1" applyFont="1" applyFill="1" applyBorder="1" applyProtection="1"/>
    <xf numFmtId="3" fontId="46" fillId="0" borderId="11" xfId="82" applyNumberFormat="1" applyFont="1" applyBorder="1" applyAlignment="1">
      <alignment horizontal="right"/>
    </xf>
    <xf numFmtId="170" fontId="46" fillId="0" borderId="38" xfId="82" applyNumberFormat="1" applyFont="1" applyBorder="1"/>
    <xf numFmtId="0" fontId="0" fillId="0" borderId="29" xfId="0" applyBorder="1"/>
    <xf numFmtId="170" fontId="46" fillId="0" borderId="29" xfId="82" applyNumberFormat="1" applyFont="1" applyBorder="1"/>
    <xf numFmtId="170" fontId="46" fillId="0" borderId="27" xfId="82" applyNumberFormat="1" applyFont="1" applyBorder="1"/>
    <xf numFmtId="0" fontId="48" fillId="0" borderId="11" xfId="110" applyFont="1" applyBorder="1" applyAlignment="1">
      <alignment horizontal="center" vertical="center" wrapText="1"/>
    </xf>
    <xf numFmtId="3" fontId="48" fillId="0" borderId="11" xfId="110" applyNumberFormat="1" applyFont="1" applyBorder="1" applyAlignment="1">
      <alignment horizontal="right" vertical="center" wrapText="1"/>
    </xf>
    <xf numFmtId="0" fontId="59" fillId="0" borderId="11" xfId="110" applyFont="1" applyBorder="1" applyAlignment="1">
      <alignment horizontal="left" vertical="center" wrapText="1"/>
    </xf>
    <xf numFmtId="165" fontId="46" fillId="0" borderId="22" xfId="82" applyNumberFormat="1" applyFont="1" applyBorder="1" applyAlignment="1" applyProtection="1">
      <alignment horizontal="right"/>
      <protection locked="0"/>
    </xf>
    <xf numFmtId="0" fontId="0" fillId="39" borderId="31" xfId="0" applyFill="1" applyBorder="1" applyAlignment="1">
      <alignment horizontal="center" wrapText="1"/>
    </xf>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44" fillId="0" borderId="37" xfId="0" applyFont="1" applyBorder="1" applyAlignment="1">
      <alignment horizontal="center"/>
    </xf>
    <xf numFmtId="0" fontId="0" fillId="0" borderId="24" xfId="0" applyBorder="1" applyAlignment="1">
      <alignment horizontal="center"/>
    </xf>
    <xf numFmtId="0" fontId="0" fillId="0" borderId="28" xfId="0" applyBorder="1" applyAlignment="1">
      <alignment horizontal="center"/>
    </xf>
    <xf numFmtId="0" fontId="48" fillId="24" borderId="17" xfId="110" applyFont="1" applyFill="1" applyBorder="1" applyAlignment="1">
      <alignment horizontal="left" vertical="center" wrapText="1"/>
    </xf>
    <xf numFmtId="0" fontId="48" fillId="24" borderId="11" xfId="110" applyFont="1" applyFill="1" applyBorder="1" applyAlignment="1">
      <alignment horizontal="left" vertical="center" wrapText="1"/>
    </xf>
    <xf numFmtId="0" fontId="70" fillId="24" borderId="11" xfId="0" applyFont="1" applyFill="1" applyBorder="1" applyAlignment="1">
      <alignment horizontal="center" wrapText="1"/>
    </xf>
    <xf numFmtId="170" fontId="46" fillId="24" borderId="17" xfId="82" applyNumberFormat="1" applyFont="1" applyFill="1" applyBorder="1"/>
    <xf numFmtId="170" fontId="46" fillId="24" borderId="11" xfId="82" applyNumberFormat="1" applyFont="1" applyFill="1" applyBorder="1"/>
    <xf numFmtId="0" fontId="44" fillId="0" borderId="19" xfId="82" applyFont="1" applyBorder="1" applyAlignment="1">
      <alignment horizontal="center"/>
    </xf>
    <xf numFmtId="0" fontId="44" fillId="0" borderId="19" xfId="110" applyFont="1" applyBorder="1" applyAlignment="1">
      <alignment horizontal="center" wrapText="1"/>
    </xf>
    <xf numFmtId="3" fontId="44" fillId="0" borderId="19" xfId="110" applyNumberFormat="1" applyFont="1" applyBorder="1" applyAlignment="1">
      <alignment horizontal="center" wrapText="1"/>
    </xf>
    <xf numFmtId="0" fontId="44" fillId="0" borderId="25" xfId="110" applyFont="1" applyBorder="1" applyAlignment="1">
      <alignment horizontal="center" wrapText="1"/>
    </xf>
    <xf numFmtId="0" fontId="73"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8" borderId="11" xfId="0" applyFont="1" applyFill="1" applyBorder="1" applyAlignment="1">
      <alignment horizontal="left"/>
    </xf>
    <xf numFmtId="10" fontId="29" fillId="48"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10" fontId="29" fillId="48" borderId="11" xfId="0" applyNumberFormat="1" applyFont="1" applyFill="1" applyBorder="1"/>
    <xf numFmtId="171" fontId="29" fillId="48" borderId="11" xfId="0" applyNumberFormat="1" applyFont="1" applyFill="1" applyBorder="1" applyAlignment="1">
      <alignment horizontal="center"/>
    </xf>
    <xf numFmtId="0" fontId="29" fillId="48" borderId="0" xfId="0" applyFont="1" applyFill="1" applyAlignment="1">
      <alignment horizontal="left"/>
    </xf>
    <xf numFmtId="0" fontId="29" fillId="26" borderId="34" xfId="0" applyFont="1" applyFill="1" applyBorder="1" applyAlignment="1">
      <alignment horizontal="left"/>
    </xf>
    <xf numFmtId="0" fontId="29" fillId="26" borderId="34" xfId="0" applyFont="1" applyFill="1" applyBorder="1"/>
    <xf numFmtId="0" fontId="32" fillId="30" borderId="34" xfId="0" applyFont="1" applyFill="1" applyBorder="1" applyAlignment="1">
      <alignment vertical="center" wrapText="1"/>
    </xf>
    <xf numFmtId="0" fontId="32" fillId="27" borderId="34" xfId="0" applyFont="1" applyFill="1" applyBorder="1"/>
    <xf numFmtId="0" fontId="29" fillId="0" borderId="34" xfId="0" applyFont="1" applyBorder="1"/>
    <xf numFmtId="3" fontId="32" fillId="0" borderId="34" xfId="0" applyNumberFormat="1" applyFont="1" applyBorder="1"/>
    <xf numFmtId="3" fontId="7" fillId="0" borderId="34" xfId="0" applyNumberFormat="1" applyFont="1" applyBorder="1"/>
    <xf numFmtId="3" fontId="29" fillId="0" borderId="34" xfId="0" applyNumberFormat="1" applyFont="1" applyBorder="1"/>
    <xf numFmtId="3" fontId="6" fillId="0" borderId="34" xfId="0" applyNumberFormat="1" applyFont="1" applyBorder="1"/>
    <xf numFmtId="0" fontId="6" fillId="0" borderId="34" xfId="0" applyFont="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5" borderId="21" xfId="0" applyFill="1" applyBorder="1"/>
    <xf numFmtId="0" fontId="0" fillId="42" borderId="21" xfId="0" applyFill="1" applyBorder="1"/>
    <xf numFmtId="0" fontId="0" fillId="31" borderId="21" xfId="0" applyFill="1" applyBorder="1"/>
    <xf numFmtId="0" fontId="44" fillId="40" borderId="21" xfId="0" applyFont="1" applyFill="1" applyBorder="1"/>
    <xf numFmtId="0" fontId="44" fillId="0" borderId="34" xfId="0" applyFont="1" applyBorder="1" applyAlignment="1">
      <alignment horizontal="right"/>
    </xf>
    <xf numFmtId="165" fontId="0" fillId="0" borderId="34" xfId="0" applyNumberFormat="1" applyBorder="1"/>
    <xf numFmtId="170" fontId="48" fillId="0" borderId="14" xfId="82" applyNumberFormat="1" applyFont="1" applyBorder="1"/>
    <xf numFmtId="170" fontId="46" fillId="0" borderId="14" xfId="82" applyNumberFormat="1" applyFont="1" applyBorder="1"/>
    <xf numFmtId="9" fontId="0" fillId="0" borderId="0" xfId="0" applyNumberFormat="1"/>
    <xf numFmtId="165" fontId="0" fillId="0" borderId="10" xfId="0" applyNumberFormat="1" applyBorder="1"/>
    <xf numFmtId="0" fontId="4" fillId="0" borderId="10" xfId="0" applyFont="1" applyBorder="1" applyAlignment="1">
      <alignment vertical="center"/>
    </xf>
    <xf numFmtId="3" fontId="0" fillId="0" borderId="40" xfId="0" applyNumberFormat="1" applyBorder="1" applyAlignment="1">
      <alignment horizontal="right"/>
    </xf>
    <xf numFmtId="170" fontId="46" fillId="0" borderId="15" xfId="82" applyNumberFormat="1" applyFont="1" applyBorder="1"/>
    <xf numFmtId="170" fontId="46" fillId="0" borderId="12" xfId="82" applyNumberFormat="1" applyFont="1" applyBorder="1"/>
    <xf numFmtId="170" fontId="46" fillId="24" borderId="21" xfId="82" applyNumberFormat="1" applyFont="1" applyFill="1" applyBorder="1"/>
    <xf numFmtId="170" fontId="46" fillId="0" borderId="41" xfId="82" applyNumberFormat="1" applyFont="1" applyBorder="1"/>
    <xf numFmtId="10" fontId="0" fillId="0" borderId="0" xfId="92" applyNumberFormat="1" applyFont="1" applyFill="1" applyBorder="1"/>
    <xf numFmtId="0" fontId="28" fillId="0" borderId="0" xfId="72" applyBorder="1" applyAlignment="1" applyProtection="1"/>
    <xf numFmtId="0" fontId="50" fillId="0" borderId="14" xfId="0" applyFont="1" applyBorder="1"/>
    <xf numFmtId="166" fontId="50" fillId="0" borderId="0" xfId="56" applyNumberFormat="1" applyFont="1" applyFill="1" applyBorder="1" applyAlignment="1">
      <alignment horizontal="left"/>
    </xf>
    <xf numFmtId="0" fontId="0" fillId="0" borderId="0" xfId="0" applyAlignment="1">
      <alignment horizontal="center" wrapText="1"/>
    </xf>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8"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8"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0" fillId="0" borderId="15" xfId="0" applyBorder="1"/>
    <xf numFmtId="0" fontId="0" fillId="0" borderId="11" xfId="0" applyBorder="1" applyAlignment="1">
      <alignment horizontal="center" vertical="center"/>
    </xf>
    <xf numFmtId="0" fontId="0" fillId="0" borderId="20" xfId="0" applyBorder="1" applyAlignment="1">
      <alignment horizontal="center" vertical="center" wrapText="1"/>
    </xf>
    <xf numFmtId="0" fontId="48" fillId="24" borderId="17" xfId="82" applyFont="1" applyFill="1" applyBorder="1" applyAlignment="1">
      <alignment horizontal="center" wrapText="1"/>
    </xf>
    <xf numFmtId="164" fontId="48" fillId="0" borderId="11" xfId="82" applyNumberFormat="1" applyFont="1" applyBorder="1"/>
    <xf numFmtId="168" fontId="6" fillId="0" borderId="0" xfId="82" applyNumberFormat="1" applyFont="1"/>
    <xf numFmtId="44" fontId="6" fillId="0" borderId="0" xfId="82" applyNumberFormat="1" applyFont="1"/>
    <xf numFmtId="166" fontId="46" fillId="39" borderId="11" xfId="56" applyNumberFormat="1" applyFont="1" applyFill="1" applyBorder="1" applyAlignment="1" applyProtection="1">
      <alignment horizontal="center"/>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0" fontId="46" fillId="24" borderId="19" xfId="82" applyFont="1" applyFill="1" applyBorder="1" applyAlignment="1">
      <alignment horizontal="center"/>
    </xf>
    <xf numFmtId="0" fontId="48" fillId="24" borderId="17" xfId="82" applyFont="1" applyFill="1" applyBorder="1" applyAlignment="1">
      <alignment horizontal="left"/>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0" fontId="48" fillId="0" borderId="0" xfId="92" applyNumberFormat="1" applyFont="1" applyFill="1" applyBorder="1" applyProtection="1">
      <protection locked="0"/>
    </xf>
    <xf numFmtId="165" fontId="48" fillId="0" borderId="0" xfId="82" applyNumberFormat="1" applyFont="1"/>
    <xf numFmtId="165" fontId="48" fillId="0" borderId="14" xfId="82" applyNumberFormat="1" applyFont="1" applyBorder="1"/>
    <xf numFmtId="9" fontId="2" fillId="24" borderId="0" xfId="92" applyFont="1" applyFill="1"/>
    <xf numFmtId="0" fontId="0" fillId="0" borderId="31" xfId="0" applyBorder="1" applyAlignment="1">
      <alignment wrapText="1"/>
    </xf>
    <xf numFmtId="0" fontId="44" fillId="0" borderId="17" xfId="0" applyFont="1" applyBorder="1" applyAlignment="1">
      <alignment wrapText="1"/>
    </xf>
    <xf numFmtId="0" fontId="0" fillId="0" borderId="17" xfId="0" applyBorder="1" applyAlignment="1">
      <alignment vertical="center" wrapText="1"/>
    </xf>
    <xf numFmtId="9" fontId="0" fillId="0" borderId="11" xfId="92" applyFont="1" applyBorder="1"/>
    <xf numFmtId="3" fontId="46" fillId="0" borderId="0" xfId="0" applyNumberFormat="1" applyFont="1"/>
    <xf numFmtId="0" fontId="48" fillId="0" borderId="0" xfId="0" applyFont="1" applyAlignment="1">
      <alignment horizontal="left"/>
    </xf>
    <xf numFmtId="0" fontId="0" fillId="39" borderId="11" xfId="0" applyFill="1" applyBorder="1" applyAlignment="1" applyProtection="1">
      <alignment horizontal="right"/>
      <protection locked="0"/>
    </xf>
    <xf numFmtId="3" fontId="0" fillId="24" borderId="11" xfId="0" quotePrefix="1" applyNumberFormat="1" applyFill="1" applyBorder="1" applyAlignment="1">
      <alignment horizontal="center"/>
    </xf>
    <xf numFmtId="0" fontId="46" fillId="0" borderId="21" xfId="0" applyFont="1" applyBorder="1" applyAlignment="1">
      <alignment horizontal="left" vertical="center"/>
    </xf>
    <xf numFmtId="0" fontId="0" fillId="0" borderId="15" xfId="0" applyBorder="1" applyAlignment="1">
      <alignment vertical="center" wrapText="1"/>
    </xf>
    <xf numFmtId="0" fontId="46" fillId="0" borderId="17" xfId="0" applyFont="1" applyBorder="1" applyAlignment="1">
      <alignment horizontal="left" vertical="center"/>
    </xf>
    <xf numFmtId="0" fontId="46" fillId="0" borderId="22" xfId="0" applyFont="1" applyBorder="1" applyAlignment="1">
      <alignment horizontal="left" vertical="center"/>
    </xf>
    <xf numFmtId="3" fontId="0" fillId="0" borderId="12" xfId="0" applyNumberFormat="1" applyBorder="1" applyAlignment="1">
      <alignment horizontal="right"/>
    </xf>
    <xf numFmtId="0" fontId="46" fillId="0" borderId="34" xfId="0" applyFont="1" applyBorder="1" applyAlignment="1">
      <alignment horizontal="left"/>
    </xf>
    <xf numFmtId="0" fontId="46" fillId="0" borderId="21" xfId="0" applyFont="1" applyBorder="1" applyAlignment="1">
      <alignment horizontal="left"/>
    </xf>
    <xf numFmtId="3" fontId="44" fillId="0" borderId="12" xfId="0" applyNumberFormat="1" applyFont="1" applyBorder="1" applyAlignment="1">
      <alignment horizontal="right"/>
    </xf>
    <xf numFmtId="0" fontId="0" fillId="0" borderId="13" xfId="0" applyBorder="1" applyAlignment="1">
      <alignment vertical="center" wrapText="1"/>
    </xf>
    <xf numFmtId="165" fontId="27" fillId="0" borderId="10" xfId="0" applyNumberFormat="1" applyFont="1" applyBorder="1"/>
    <xf numFmtId="0" fontId="0" fillId="0" borderId="20" xfId="0" applyBorder="1" applyAlignment="1">
      <alignment horizontal="left" vertical="center"/>
    </xf>
    <xf numFmtId="1" fontId="0" fillId="0" borderId="11" xfId="0" applyNumberFormat="1" applyBorder="1"/>
    <xf numFmtId="0" fontId="0" fillId="0" borderId="17" xfId="0" applyBorder="1" applyAlignment="1">
      <alignment horizontal="left"/>
    </xf>
    <xf numFmtId="0" fontId="0" fillId="0" borderId="17" xfId="0" applyBorder="1" applyAlignment="1">
      <alignment horizontal="left" vertical="center"/>
    </xf>
    <xf numFmtId="0" fontId="48" fillId="41" borderId="12" xfId="0" applyFont="1" applyFill="1" applyBorder="1" applyAlignment="1">
      <alignment horizontal="left" vertical="center"/>
    </xf>
    <xf numFmtId="0" fontId="0" fillId="41" borderId="20" xfId="0" applyFill="1" applyBorder="1" applyAlignment="1">
      <alignment horizontal="center"/>
    </xf>
    <xf numFmtId="164" fontId="0" fillId="41" borderId="20" xfId="0" applyNumberFormat="1" applyFill="1" applyBorder="1"/>
    <xf numFmtId="165" fontId="44" fillId="0" borderId="20" xfId="0" applyNumberFormat="1" applyFont="1" applyBorder="1"/>
    <xf numFmtId="43" fontId="46" fillId="0" borderId="0" xfId="56" applyFont="1"/>
    <xf numFmtId="0" fontId="58" fillId="0" borderId="20" xfId="72" applyFont="1" applyFill="1" applyBorder="1" applyAlignment="1" applyProtection="1">
      <alignment horizontal="left" vertical="center"/>
    </xf>
    <xf numFmtId="0" fontId="48" fillId="0" borderId="13" xfId="0" applyFont="1" applyBorder="1"/>
    <xf numFmtId="0" fontId="0" fillId="0" borderId="16" xfId="0" applyBorder="1"/>
    <xf numFmtId="169" fontId="0" fillId="39" borderId="11" xfId="0" applyNumberFormat="1" applyFill="1" applyBorder="1" applyProtection="1">
      <protection locked="0"/>
    </xf>
    <xf numFmtId="0" fontId="0" fillId="39" borderId="11" xfId="0" applyFill="1" applyBorder="1" applyProtection="1">
      <protection locked="0"/>
    </xf>
    <xf numFmtId="9" fontId="0" fillId="39" borderId="31" xfId="0" applyNumberFormat="1" applyFill="1" applyBorder="1" applyAlignment="1" applyProtection="1">
      <alignment horizontal="right"/>
      <protection locked="0"/>
    </xf>
    <xf numFmtId="9" fontId="0" fillId="39" borderId="31" xfId="92" applyFont="1" applyFill="1" applyBorder="1" applyAlignment="1" applyProtection="1">
      <alignment horizontal="right"/>
      <protection locked="0"/>
    </xf>
    <xf numFmtId="1" fontId="0" fillId="39" borderId="11" xfId="0" applyNumberFormat="1" applyFill="1" applyBorder="1" applyProtection="1">
      <protection locked="0"/>
    </xf>
    <xf numFmtId="0" fontId="2" fillId="24" borderId="0" xfId="87" applyFont="1" applyFill="1" applyAlignment="1">
      <alignment horizontal="left"/>
    </xf>
    <xf numFmtId="0" fontId="75" fillId="24" borderId="0" xfId="0" applyFont="1" applyFill="1" applyAlignment="1">
      <alignment horizontal="left"/>
    </xf>
    <xf numFmtId="0" fontId="76" fillId="24" borderId="0" xfId="72" applyFont="1" applyFill="1" applyBorder="1" applyAlignment="1" applyProtection="1">
      <alignment horizontal="left"/>
    </xf>
    <xf numFmtId="0" fontId="7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75" fillId="24" borderId="0" xfId="82" applyFont="1" applyFill="1" applyAlignment="1">
      <alignment horizontal="left"/>
    </xf>
    <xf numFmtId="0" fontId="76" fillId="24" borderId="0" xfId="72" applyFont="1" applyFill="1" applyBorder="1" applyAlignment="1" applyProtection="1"/>
    <xf numFmtId="0" fontId="77" fillId="24" borderId="0" xfId="0" applyFont="1" applyFill="1"/>
    <xf numFmtId="0" fontId="75" fillId="24" borderId="0" xfId="105" applyFont="1" applyFill="1"/>
    <xf numFmtId="9" fontId="0" fillId="0" borderId="0" xfId="0" applyNumberFormat="1" applyAlignment="1">
      <alignment horizontal="right"/>
    </xf>
    <xf numFmtId="0" fontId="58" fillId="0" borderId="10" xfId="72" applyFont="1" applyBorder="1" applyAlignment="1" applyProtection="1"/>
    <xf numFmtId="0" fontId="0" fillId="0" borderId="0" xfId="82" applyFont="1" applyAlignment="1">
      <alignment vertical="top"/>
    </xf>
    <xf numFmtId="0" fontId="0" fillId="24" borderId="42" xfId="0" applyFill="1" applyBorder="1" applyAlignment="1">
      <alignment horizontal="center"/>
    </xf>
    <xf numFmtId="0" fontId="48"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0" fillId="41" borderId="18" xfId="0" applyFill="1" applyBorder="1"/>
    <xf numFmtId="0" fontId="44" fillId="41" borderId="20" xfId="0" applyFont="1" applyFill="1" applyBorder="1" applyAlignment="1">
      <alignment horizontal="left"/>
    </xf>
    <xf numFmtId="0" fontId="46" fillId="41" borderId="0" xfId="0" applyFont="1" applyFill="1" applyAlignment="1">
      <alignment horizontal="left" vertical="center"/>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0" fillId="41" borderId="12" xfId="0" applyFill="1" applyBorder="1"/>
    <xf numFmtId="4" fontId="0" fillId="41" borderId="20" xfId="0" applyNumberFormat="1" applyFill="1" applyBorder="1"/>
    <xf numFmtId="0" fontId="0" fillId="41" borderId="14" xfId="0" applyFill="1" applyBorder="1"/>
    <xf numFmtId="0" fontId="46" fillId="24" borderId="11" xfId="0" applyFont="1" applyFill="1" applyBorder="1" applyAlignment="1">
      <alignment horizontal="center" wrapText="1"/>
    </xf>
    <xf numFmtId="164" fontId="46" fillId="0" borderId="11" xfId="0" applyNumberFormat="1" applyFont="1" applyBorder="1"/>
    <xf numFmtId="0" fontId="0" fillId="39" borderId="35" xfId="0" applyFill="1" applyBorder="1" applyAlignment="1">
      <alignment horizontal="center" wrapText="1"/>
    </xf>
    <xf numFmtId="165" fontId="46" fillId="0" borderId="11" xfId="0" applyNumberFormat="1" applyFont="1" applyBorder="1"/>
    <xf numFmtId="0" fontId="58" fillId="0" borderId="0" xfId="72" applyFont="1" applyBorder="1" applyAlignment="1" applyProtection="1"/>
    <xf numFmtId="0" fontId="78" fillId="0" borderId="12" xfId="0" applyFont="1" applyBorder="1" applyAlignment="1">
      <alignment wrapText="1"/>
    </xf>
    <xf numFmtId="0" fontId="78" fillId="0" borderId="17" xfId="0" applyFont="1" applyBorder="1"/>
    <xf numFmtId="0" fontId="79" fillId="0" borderId="20" xfId="72" applyFont="1" applyFill="1" applyBorder="1" applyAlignment="1" applyProtection="1">
      <alignment horizontal="left" vertical="center"/>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0" fontId="78" fillId="39" borderId="11" xfId="92" applyNumberFormat="1" applyFont="1" applyFill="1" applyBorder="1" applyProtection="1">
      <protection locked="0"/>
    </xf>
    <xf numFmtId="3" fontId="78" fillId="39" borderId="11" xfId="0" applyNumberFormat="1" applyFont="1" applyFill="1" applyBorder="1" applyProtection="1">
      <protection locked="0"/>
    </xf>
    <xf numFmtId="3" fontId="44" fillId="39" borderId="11" xfId="0" applyNumberFormat="1" applyFont="1" applyFill="1" applyBorder="1" applyProtection="1">
      <protection locked="0"/>
    </xf>
    <xf numFmtId="166" fontId="27" fillId="39" borderId="11" xfId="56" applyNumberFormat="1" applyFont="1" applyFill="1" applyBorder="1" applyAlignment="1" applyProtection="1">
      <alignment horizontal="right"/>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3" fontId="0" fillId="39" borderId="32" xfId="0" applyNumberFormat="1" applyFill="1" applyBorder="1" applyAlignment="1" applyProtection="1">
      <alignment horizontal="right"/>
      <protection locked="0"/>
    </xf>
    <xf numFmtId="164" fontId="0" fillId="39" borderId="11" xfId="0" applyNumberFormat="1" applyFill="1" applyBorder="1" applyProtection="1">
      <protection locked="0"/>
    </xf>
    <xf numFmtId="0" fontId="0" fillId="39" borderId="32" xfId="0" applyFill="1" applyBorder="1" applyAlignment="1" applyProtection="1">
      <alignment horizontal="center" wrapText="1"/>
      <protection locked="0"/>
    </xf>
    <xf numFmtId="170" fontId="46" fillId="39" borderId="11" xfId="82" applyNumberFormat="1" applyFont="1" applyFill="1" applyBorder="1" applyProtection="1">
      <protection locked="0"/>
    </xf>
    <xf numFmtId="170" fontId="46" fillId="39" borderId="39" xfId="82" applyNumberFormat="1" applyFon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0" fontId="46" fillId="39" borderId="17" xfId="82" applyFont="1" applyFill="1" applyBorder="1" applyProtection="1">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 fontId="46" fillId="39" borderId="11" xfId="82" applyNumberFormat="1" applyFont="1" applyFill="1" applyBorder="1" applyProtection="1">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4" fontId="46" fillId="39" borderId="11" xfId="82" applyNumberFormat="1" applyFont="1" applyFill="1" applyBorder="1" applyProtection="1">
      <protection locked="0"/>
    </xf>
    <xf numFmtId="175" fontId="46" fillId="39" borderId="11" xfId="56" applyNumberFormat="1" applyFont="1" applyFill="1" applyBorder="1" applyProtection="1">
      <protection locked="0"/>
    </xf>
    <xf numFmtId="43" fontId="46" fillId="39" borderId="11" xfId="56" applyFont="1" applyFill="1" applyBorder="1" applyProtection="1">
      <protection locked="0"/>
    </xf>
    <xf numFmtId="164" fontId="48" fillId="39" borderId="11" xfId="82" applyNumberFormat="1" applyFont="1" applyFill="1" applyBorder="1" applyProtection="1">
      <protection locked="0"/>
    </xf>
    <xf numFmtId="0" fontId="48" fillId="39" borderId="11" xfId="82" applyFont="1" applyFill="1" applyBorder="1" applyProtection="1">
      <protection locked="0"/>
    </xf>
    <xf numFmtId="1" fontId="0" fillId="39" borderId="33" xfId="0" applyNumberForma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0" fontId="4" fillId="25" borderId="0" xfId="0" applyFont="1" applyFill="1" applyAlignment="1">
      <alignment vertical="center"/>
    </xf>
    <xf numFmtId="10" fontId="0" fillId="0" borderId="11" xfId="92" applyNumberFormat="1" applyFont="1" applyFill="1" applyBorder="1" applyAlignment="1">
      <alignment horizontal="center" vertical="center" wrapText="1"/>
    </xf>
    <xf numFmtId="0" fontId="0" fillId="0" borderId="12" xfId="0" applyBorder="1" applyAlignment="1">
      <alignment horizontal="left" vertical="center" wrapText="1"/>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20" xfId="72" applyFill="1" applyBorder="1" applyAlignment="1" applyProtection="1">
      <alignment horizontal="left" vertical="center" wrapText="1"/>
    </xf>
    <xf numFmtId="0" fontId="0" fillId="0" borderId="20" xfId="0" applyBorder="1" applyAlignment="1">
      <alignment wrapText="1"/>
    </xf>
    <xf numFmtId="0" fontId="0" fillId="0" borderId="17" xfId="0" applyBorder="1" applyAlignment="1">
      <alignment wrapText="1"/>
    </xf>
    <xf numFmtId="0" fontId="28" fillId="0" borderId="12" xfId="72" applyBorder="1" applyAlignment="1" applyProtection="1">
      <alignment horizontal="left" wrapText="1"/>
    </xf>
    <xf numFmtId="0" fontId="28" fillId="0" borderId="20" xfId="72" applyBorder="1" applyAlignment="1" applyProtection="1">
      <alignment horizontal="left" wrapText="1"/>
    </xf>
    <xf numFmtId="2" fontId="0" fillId="0" borderId="10" xfId="0" applyNumberFormat="1" applyBorder="1" applyAlignment="1">
      <alignment horizontal="center" wrapText="1"/>
    </xf>
    <xf numFmtId="0" fontId="0" fillId="0" borderId="10" xfId="0" applyBorder="1" applyAlignment="1">
      <alignment horizontal="center" wrapText="1"/>
    </xf>
    <xf numFmtId="0" fontId="0" fillId="0" borderId="0" xfId="0" applyAlignment="1">
      <alignment horizontal="right" wrapText="1"/>
    </xf>
    <xf numFmtId="0" fontId="0" fillId="0" borderId="43" xfId="0" applyBorder="1" applyAlignment="1">
      <alignment horizontal="right" wrapText="1"/>
    </xf>
    <xf numFmtId="2" fontId="0" fillId="0" borderId="10" xfId="0" applyNumberFormat="1" applyBorder="1" applyAlignment="1">
      <alignment horizontal="center"/>
    </xf>
    <xf numFmtId="0" fontId="0" fillId="0" borderId="10" xfId="0" applyBorder="1" applyAlignment="1">
      <alignment horizontal="center"/>
    </xf>
    <xf numFmtId="0" fontId="29" fillId="0" borderId="0" xfId="0" quotePrefix="1" applyFont="1" applyAlignment="1">
      <alignment wrapText="1"/>
    </xf>
    <xf numFmtId="0" fontId="0" fillId="0" borderId="0" xfId="0" applyAlignment="1">
      <alignment wrapText="1"/>
    </xf>
    <xf numFmtId="0" fontId="44" fillId="49" borderId="12" xfId="82" applyFont="1" applyFill="1" applyBorder="1" applyAlignment="1">
      <alignment horizontal="center" vertical="center"/>
    </xf>
    <xf numFmtId="0" fontId="44" fillId="49" borderId="20" xfId="82" applyFont="1" applyFill="1" applyBorder="1" applyAlignment="1">
      <alignment horizontal="center" vertical="center"/>
    </xf>
    <xf numFmtId="0" fontId="44" fillId="49" borderId="17" xfId="82" applyFont="1" applyFill="1" applyBorder="1" applyAlignment="1">
      <alignment horizontal="center" vertical="center"/>
    </xf>
    <xf numFmtId="0" fontId="59" fillId="47" borderId="23" xfId="82" applyFont="1" applyFill="1" applyBorder="1" applyAlignment="1">
      <alignment horizontal="center"/>
    </xf>
    <xf numFmtId="0" fontId="59" fillId="47" borderId="10" xfId="82" applyFont="1" applyFill="1" applyBorder="1" applyAlignment="1">
      <alignment horizontal="center"/>
    </xf>
    <xf numFmtId="0" fontId="59" fillId="47" borderId="22" xfId="82"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ashpublications.org/blood/article/136/Supplement%201/24/471975/Updated-Analysis-of-Daratumumab-Plus-Lenalidomide" TargetMode="External"/><Relationship Id="rId3" Type="http://schemas.openxmlformats.org/officeDocument/2006/relationships/hyperlink" Target="https://statswales.gov.wales/Catalogue/Population-and-Migration/Population/Estimates/Local-Health-Boards" TargetMode="External"/><Relationship Id="rId7" Type="http://schemas.openxmlformats.org/officeDocument/2006/relationships/hyperlink" Target="https://www.gov.uk/government/publications/drugs-and-pharmaceutical-electronic-market-information-emit" TargetMode="External"/><Relationship Id="rId2" Type="http://schemas.openxmlformats.org/officeDocument/2006/relationships/hyperlink" Target="http://www.ons.gov.uk/peoplepopulationandcommunity/populationandmigration/populationestimates/datasets/clinicalcommissioninggroupmidyearpopulationestimates" TargetMode="External"/><Relationship Id="rId1" Type="http://schemas.openxmlformats.org/officeDocument/2006/relationships/hyperlink" Target="https://digital.nhs.uk/data-and-information/publications/statistical/cancer-registration-statistics/england-2019/content" TargetMode="External"/><Relationship Id="rId6" Type="http://schemas.openxmlformats.org/officeDocument/2006/relationships/hyperlink" Target="https://www.gov.uk/government/publications/drugs-and-pharmaceutical-electronic-market-information-emit" TargetMode="External"/><Relationship Id="rId11" Type="http://schemas.openxmlformats.org/officeDocument/2006/relationships/comments" Target="../comments1.xml"/><Relationship Id="rId5" Type="http://schemas.openxmlformats.org/officeDocument/2006/relationships/hyperlink" Target="https://www.nisra.gov.uk/statistics/population/mid-year-population-estimates" TargetMode="External"/><Relationship Id="rId10" Type="http://schemas.openxmlformats.org/officeDocument/2006/relationships/vmlDrawing" Target="../drawings/vmlDrawing2.vml"/><Relationship Id="rId4" Type="http://schemas.openxmlformats.org/officeDocument/2006/relationships/hyperlink" Target="https://www.ons.gov.uk/peoplepopulationandcommunity/populationandmigration/populationestimates/datasets/populationestimatesforukenglandandwalesscotlandandnorthernireland"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publication/2023-25-nhs-payment-scheme/" TargetMode="External"/><Relationship Id="rId2" Type="http://schemas.openxmlformats.org/officeDocument/2006/relationships/hyperlink" Target="https://www.england.nhs.uk/publication/2023-25-nhs-payment-scheme/" TargetMode="External"/><Relationship Id="rId1" Type="http://schemas.openxmlformats.org/officeDocument/2006/relationships/hyperlink" Target="https://www.england.nhs.uk/publication/2023-25-nhs-payment-schem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A5D40-5DDC-4F72-8963-69A24B8CE3F9}">
  <sheetPr>
    <tabColor theme="1" tint="0.14999847407452621"/>
    <pageSetUpPr fitToPage="1"/>
  </sheetPr>
  <dimension ref="B2:U46"/>
  <sheetViews>
    <sheetView showGridLines="0" tabSelected="1" zoomScale="80" zoomScaleNormal="80" zoomScaleSheetLayoutView="80" workbookViewId="0">
      <selection activeCell="C15" sqref="C15"/>
    </sheetView>
  </sheetViews>
  <sheetFormatPr defaultRowHeight="15" x14ac:dyDescent="0.25"/>
  <cols>
    <col min="1" max="1" width="1.42578125" customWidth="1"/>
    <col min="2" max="2" width="1.85546875" customWidth="1"/>
    <col min="5" max="5" width="13.140625" customWidth="1"/>
    <col min="13" max="13" width="14.5703125" customWidth="1"/>
    <col min="14" max="14" width="8.7109375" customWidth="1"/>
    <col min="15" max="15" width="1.5703125" customWidth="1"/>
    <col min="16" max="16" width="1.42578125" customWidth="1"/>
    <col min="21" max="21" width="31" customWidth="1"/>
  </cols>
  <sheetData>
    <row r="2" spans="2:21" x14ac:dyDescent="0.25">
      <c r="B2" s="172"/>
      <c r="C2" s="337"/>
      <c r="D2" s="337"/>
      <c r="E2" s="337"/>
      <c r="F2" s="337"/>
      <c r="G2" s="337"/>
      <c r="H2" s="337"/>
      <c r="I2" s="337"/>
      <c r="J2" s="337"/>
      <c r="K2" s="337"/>
      <c r="L2" s="337"/>
      <c r="M2" s="337"/>
      <c r="N2" s="337"/>
      <c r="O2" s="157"/>
    </row>
    <row r="3" spans="2:21" x14ac:dyDescent="0.25">
      <c r="B3" s="160"/>
      <c r="O3" s="159"/>
    </row>
    <row r="4" spans="2:21" x14ac:dyDescent="0.25">
      <c r="B4" s="160"/>
      <c r="O4" s="159"/>
    </row>
    <row r="5" spans="2:21" x14ac:dyDescent="0.25">
      <c r="B5" s="160"/>
      <c r="O5" s="159"/>
    </row>
    <row r="6" spans="2:21" ht="46.5" x14ac:dyDescent="0.7">
      <c r="B6" s="160"/>
      <c r="O6" s="159"/>
      <c r="S6" s="371"/>
      <c r="U6" s="372"/>
    </row>
    <row r="7" spans="2:21" x14ac:dyDescent="0.25">
      <c r="B7" s="160"/>
      <c r="O7" s="159"/>
    </row>
    <row r="8" spans="2:21" x14ac:dyDescent="0.25">
      <c r="B8" s="160"/>
      <c r="O8" s="159"/>
    </row>
    <row r="9" spans="2:21" x14ac:dyDescent="0.25">
      <c r="B9" s="160"/>
      <c r="O9" s="159"/>
    </row>
    <row r="10" spans="2:21" x14ac:dyDescent="0.25">
      <c r="B10" s="160"/>
      <c r="C10" s="173"/>
      <c r="D10" s="173"/>
      <c r="E10" s="173"/>
      <c r="F10" s="173"/>
      <c r="G10" s="173"/>
      <c r="H10" s="173"/>
      <c r="I10" s="173"/>
      <c r="J10" s="173"/>
      <c r="K10" s="173"/>
      <c r="L10" s="173"/>
      <c r="M10" s="173"/>
      <c r="N10" s="173"/>
      <c r="O10" s="159"/>
    </row>
    <row r="11" spans="2:21" ht="31.5" x14ac:dyDescent="0.5">
      <c r="B11" s="160"/>
      <c r="C11" s="174" t="s">
        <v>0</v>
      </c>
      <c r="D11" s="173"/>
      <c r="E11" s="173"/>
      <c r="F11" s="173"/>
      <c r="G11" s="173"/>
      <c r="H11" s="173"/>
      <c r="I11" s="173"/>
      <c r="J11" s="173"/>
      <c r="K11" s="173"/>
      <c r="L11" s="173"/>
      <c r="M11" s="173"/>
      <c r="N11" s="173"/>
      <c r="O11" s="159"/>
    </row>
    <row r="12" spans="2:21" x14ac:dyDescent="0.25">
      <c r="B12" s="160"/>
      <c r="C12" s="173"/>
      <c r="D12" s="173"/>
      <c r="E12" s="173"/>
      <c r="F12" s="173"/>
      <c r="G12" s="173"/>
      <c r="H12" s="173"/>
      <c r="I12" s="173"/>
      <c r="J12" s="173"/>
      <c r="K12" s="173"/>
      <c r="L12" s="173"/>
      <c r="M12" s="173"/>
      <c r="N12" s="173"/>
      <c r="O12" s="159"/>
    </row>
    <row r="13" spans="2:21" x14ac:dyDescent="0.25">
      <c r="B13" s="160"/>
      <c r="O13" s="159"/>
    </row>
    <row r="14" spans="2:21" ht="31.5" x14ac:dyDescent="0.5">
      <c r="B14" s="160"/>
      <c r="C14" s="176" t="s">
        <v>1</v>
      </c>
      <c r="O14" s="159"/>
    </row>
    <row r="15" spans="2:21" ht="31.5" x14ac:dyDescent="0.25">
      <c r="B15" s="160"/>
      <c r="C15" s="355" t="s">
        <v>1280</v>
      </c>
      <c r="O15" s="159"/>
    </row>
    <row r="16" spans="2:21" ht="31.5" x14ac:dyDescent="0.25">
      <c r="B16" s="160"/>
      <c r="C16" s="355" t="s">
        <v>1281</v>
      </c>
      <c r="O16" s="159"/>
    </row>
    <row r="17" spans="2:15" ht="31.5" x14ac:dyDescent="0.25">
      <c r="B17" s="160"/>
      <c r="C17" s="355" t="s">
        <v>1282</v>
      </c>
      <c r="O17" s="159"/>
    </row>
    <row r="18" spans="2:15" ht="31.5" x14ac:dyDescent="0.5">
      <c r="B18" s="160"/>
      <c r="C18" s="355" t="s">
        <v>1296</v>
      </c>
      <c r="D18" s="177"/>
      <c r="O18" s="159"/>
    </row>
    <row r="19" spans="2:15" ht="31.5" x14ac:dyDescent="0.5">
      <c r="B19" s="160"/>
      <c r="D19" s="177"/>
      <c r="O19" s="159"/>
    </row>
    <row r="20" spans="2:15" ht="31.5" x14ac:dyDescent="0.5">
      <c r="B20" s="160"/>
      <c r="C20" s="175" t="s">
        <v>1279</v>
      </c>
      <c r="D20" s="177"/>
      <c r="O20" s="159"/>
    </row>
    <row r="21" spans="2:15" ht="31.5" x14ac:dyDescent="0.5">
      <c r="B21" s="160"/>
      <c r="D21" s="177"/>
      <c r="O21" s="159"/>
    </row>
    <row r="22" spans="2:15" ht="31.5" x14ac:dyDescent="0.5">
      <c r="B22" s="160"/>
      <c r="D22" s="177"/>
      <c r="O22" s="159"/>
    </row>
    <row r="23" spans="2:15" ht="31.5" x14ac:dyDescent="0.5">
      <c r="B23" s="160"/>
      <c r="D23" s="177"/>
      <c r="O23" s="159"/>
    </row>
    <row r="24" spans="2:15" ht="31.5" x14ac:dyDescent="0.5">
      <c r="B24" s="160"/>
      <c r="C24" s="354"/>
      <c r="D24" s="177"/>
      <c r="O24" s="159"/>
    </row>
    <row r="25" spans="2:15" x14ac:dyDescent="0.25">
      <c r="B25" s="160"/>
      <c r="O25" s="159"/>
    </row>
    <row r="26" spans="2:15" x14ac:dyDescent="0.25">
      <c r="B26" s="160"/>
      <c r="O26" s="159"/>
    </row>
    <row r="27" spans="2:15" x14ac:dyDescent="0.25">
      <c r="B27" s="160"/>
      <c r="O27" s="159"/>
    </row>
    <row r="28" spans="2:15" x14ac:dyDescent="0.25">
      <c r="B28" s="160"/>
      <c r="O28" s="159"/>
    </row>
    <row r="29" spans="2:15" x14ac:dyDescent="0.25">
      <c r="B29" s="160"/>
      <c r="O29" s="159"/>
    </row>
    <row r="30" spans="2:15" x14ac:dyDescent="0.25">
      <c r="B30" s="160"/>
      <c r="O30" s="159"/>
    </row>
    <row r="31" spans="2:15" x14ac:dyDescent="0.25">
      <c r="B31" s="160"/>
      <c r="O31" s="159"/>
    </row>
    <row r="32" spans="2:15" x14ac:dyDescent="0.25">
      <c r="B32" s="160"/>
      <c r="O32" s="159"/>
    </row>
    <row r="33" spans="2:15" x14ac:dyDescent="0.25">
      <c r="B33" s="160"/>
      <c r="O33" s="159"/>
    </row>
    <row r="34" spans="2:15" x14ac:dyDescent="0.25">
      <c r="B34" s="160"/>
      <c r="O34" s="159"/>
    </row>
    <row r="35" spans="2:15" x14ac:dyDescent="0.25">
      <c r="B35" s="160"/>
      <c r="C35" s="149" t="s">
        <v>2</v>
      </c>
      <c r="D35" s="198"/>
      <c r="E35" s="168"/>
      <c r="F35" s="239" t="s">
        <v>1022</v>
      </c>
      <c r="G35" s="198"/>
      <c r="H35" s="198"/>
      <c r="I35" s="198"/>
      <c r="J35" s="198"/>
      <c r="K35" s="198"/>
      <c r="L35" s="198"/>
      <c r="M35" s="168"/>
      <c r="O35" s="159"/>
    </row>
    <row r="36" spans="2:15" x14ac:dyDescent="0.25">
      <c r="B36" s="160"/>
      <c r="C36" s="149" t="s">
        <v>3</v>
      </c>
      <c r="D36" s="198"/>
      <c r="E36" s="168"/>
      <c r="F36" s="239" t="s">
        <v>1023</v>
      </c>
      <c r="G36" s="198"/>
      <c r="H36" s="198"/>
      <c r="I36" s="198"/>
      <c r="J36" s="198"/>
      <c r="K36" s="198"/>
      <c r="L36" s="198"/>
      <c r="M36" s="168"/>
      <c r="O36" s="159"/>
    </row>
    <row r="37" spans="2:15" x14ac:dyDescent="0.25">
      <c r="B37" s="160"/>
      <c r="C37" s="661" t="s">
        <v>4</v>
      </c>
      <c r="D37" s="172"/>
      <c r="E37" s="157"/>
      <c r="F37" s="172" t="s">
        <v>1024</v>
      </c>
      <c r="G37" s="337"/>
      <c r="H37" s="337"/>
      <c r="I37" s="337"/>
      <c r="J37" s="337"/>
      <c r="K37" s="337"/>
      <c r="L37" s="337"/>
      <c r="M37" s="157"/>
      <c r="O37" s="159"/>
    </row>
    <row r="38" spans="2:15" x14ac:dyDescent="0.25">
      <c r="B38" s="160"/>
      <c r="C38" s="160"/>
      <c r="E38" s="159"/>
      <c r="F38" s="160" t="s">
        <v>1025</v>
      </c>
      <c r="M38" s="159"/>
      <c r="O38" s="159"/>
    </row>
    <row r="39" spans="2:15" x14ac:dyDescent="0.25">
      <c r="B39" s="160"/>
      <c r="C39" s="160"/>
      <c r="E39" s="159"/>
      <c r="F39" s="160" t="s">
        <v>1026</v>
      </c>
      <c r="M39" s="159"/>
      <c r="O39" s="159"/>
    </row>
    <row r="40" spans="2:15" x14ac:dyDescent="0.25">
      <c r="B40" s="160"/>
      <c r="C40" s="161"/>
      <c r="E40" s="159"/>
      <c r="F40" s="160" t="s">
        <v>1027</v>
      </c>
      <c r="M40" s="159"/>
      <c r="O40" s="159"/>
    </row>
    <row r="41" spans="2:15" x14ac:dyDescent="0.25">
      <c r="B41" s="160"/>
      <c r="C41" s="661" t="s">
        <v>5</v>
      </c>
      <c r="D41" s="172"/>
      <c r="E41" s="157"/>
      <c r="F41" s="172" t="s">
        <v>1028</v>
      </c>
      <c r="G41" s="337"/>
      <c r="H41" s="337"/>
      <c r="I41" s="337"/>
      <c r="J41" s="337"/>
      <c r="K41" s="337"/>
      <c r="L41" s="337"/>
      <c r="M41" s="157"/>
      <c r="O41" s="159"/>
    </row>
    <row r="42" spans="2:15" x14ac:dyDescent="0.25">
      <c r="B42" s="160"/>
      <c r="C42" s="239" t="s">
        <v>6</v>
      </c>
      <c r="D42" s="198"/>
      <c r="E42" s="168"/>
      <c r="F42" s="239" t="s">
        <v>1029</v>
      </c>
      <c r="G42" s="198"/>
      <c r="H42" s="198"/>
      <c r="I42" s="198"/>
      <c r="J42" s="198"/>
      <c r="K42" s="198"/>
      <c r="L42" s="198"/>
      <c r="M42" s="168"/>
      <c r="O42" s="159"/>
    </row>
    <row r="43" spans="2:15" x14ac:dyDescent="0.25">
      <c r="B43" s="160"/>
      <c r="C43" s="149" t="s">
        <v>7</v>
      </c>
      <c r="D43" s="198"/>
      <c r="E43" s="168"/>
      <c r="F43" s="239" t="s">
        <v>1030</v>
      </c>
      <c r="G43" s="198"/>
      <c r="H43" s="198"/>
      <c r="I43" s="198"/>
      <c r="J43" s="198"/>
      <c r="K43" s="198"/>
      <c r="L43" s="198"/>
      <c r="M43" s="168"/>
      <c r="O43" s="159"/>
    </row>
    <row r="44" spans="2:15" x14ac:dyDescent="0.25">
      <c r="B44" s="160"/>
      <c r="C44" s="149" t="s">
        <v>8</v>
      </c>
      <c r="D44" s="198"/>
      <c r="E44" s="168"/>
      <c r="F44" s="239" t="s">
        <v>1031</v>
      </c>
      <c r="G44" s="198"/>
      <c r="H44" s="198"/>
      <c r="I44" s="198"/>
      <c r="J44" s="198"/>
      <c r="K44" s="198"/>
      <c r="L44" s="198"/>
      <c r="M44" s="168"/>
      <c r="O44" s="159"/>
    </row>
    <row r="45" spans="2:15" x14ac:dyDescent="0.25">
      <c r="B45" s="160"/>
      <c r="C45" s="149" t="s">
        <v>9</v>
      </c>
      <c r="D45" s="198"/>
      <c r="E45" s="168"/>
      <c r="F45" s="239" t="s">
        <v>1032</v>
      </c>
      <c r="G45" s="198"/>
      <c r="H45" s="198"/>
      <c r="I45" s="198"/>
      <c r="J45" s="198"/>
      <c r="K45" s="198"/>
      <c r="L45" s="198"/>
      <c r="M45" s="168"/>
      <c r="O45" s="159"/>
    </row>
    <row r="46" spans="2:15" x14ac:dyDescent="0.25">
      <c r="B46" s="161"/>
      <c r="C46" s="162"/>
      <c r="D46" s="162"/>
      <c r="E46" s="162"/>
      <c r="F46" s="162"/>
      <c r="G46" s="162"/>
      <c r="H46" s="162"/>
      <c r="I46" s="162"/>
      <c r="J46" s="162"/>
      <c r="K46" s="162"/>
      <c r="L46" s="162"/>
      <c r="M46" s="162"/>
      <c r="N46" s="162"/>
      <c r="O46" s="163"/>
    </row>
  </sheetData>
  <sheetProtection algorithmName="SHA-512" hashValue="m2QVrIE59nn+TLowYnNdw8FivKnoT8p2IVkNYMTwbqs9P0fbJuD3hMLkJDKkRXlL0tvkf8n/xJBUWx+zwVNVhA==" saltValue="ZyBkgORWRrSIs7iQd+rjlg==" spinCount="100000" sheet="1" objects="1" scenarios="1"/>
  <pageMargins left="0.23622047244094491" right="0.23622047244094491" top="0.74803149606299213" bottom="0.74803149606299213" header="0.31496062992125984" footer="0.31496062992125984"/>
  <pageSetup paperSize="9" scale="81"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C292-D367-4731-939D-4B4A01193C9A}">
  <sheetPr>
    <tabColor theme="8" tint="-0.499984740745262"/>
    <pageSetUpPr fitToPage="1"/>
  </sheetPr>
  <dimension ref="A1:AN219"/>
  <sheetViews>
    <sheetView showGridLines="0" zoomScale="70" zoomScaleNormal="70" zoomScaleSheetLayoutView="30" workbookViewId="0">
      <selection activeCell="G1" sqref="G1"/>
    </sheetView>
  </sheetViews>
  <sheetFormatPr defaultColWidth="8.85546875" defaultRowHeight="15" x14ac:dyDescent="0.25"/>
  <cols>
    <col min="1" max="1" width="3.5703125" customWidth="1"/>
    <col min="2" max="2" width="74.42578125" style="1" customWidth="1"/>
    <col min="3" max="9" width="12.5703125" customWidth="1"/>
    <col min="10" max="10" width="1.85546875" customWidth="1"/>
    <col min="11" max="11" width="10.42578125" customWidth="1"/>
    <col min="12" max="18" width="11.7109375" customWidth="1"/>
    <col min="19" max="19" width="11.42578125" customWidth="1"/>
    <col min="20" max="20" width="11.7109375" customWidth="1"/>
    <col min="21" max="26" width="10.85546875" customWidth="1"/>
    <col min="28" max="41" width="0" hidden="1" customWidth="1"/>
  </cols>
  <sheetData>
    <row r="1" spans="1:40" ht="30" customHeight="1" x14ac:dyDescent="0.25">
      <c r="B1" s="785" t="str">
        <f>'Unit costs'!B1</f>
        <v>Selinexor with bortezomib and dexamethasone for previously treated multiple myeloma 
(TA974)</v>
      </c>
      <c r="C1" s="127"/>
      <c r="D1" s="127"/>
      <c r="F1" s="127"/>
      <c r="G1" s="127"/>
      <c r="H1" s="127"/>
      <c r="I1" s="127"/>
      <c r="J1" s="127"/>
      <c r="K1" s="127"/>
      <c r="L1" s="127"/>
      <c r="M1" s="127"/>
      <c r="N1" s="127"/>
      <c r="O1" s="127"/>
      <c r="P1" s="127"/>
      <c r="R1" s="127"/>
      <c r="S1" s="127"/>
      <c r="T1" s="127"/>
      <c r="U1" s="127"/>
      <c r="V1" s="127"/>
      <c r="W1" s="127"/>
      <c r="X1" s="127"/>
      <c r="Y1" s="127"/>
      <c r="Z1" s="127"/>
    </row>
    <row r="2" spans="1:40" ht="42.6" customHeight="1" x14ac:dyDescent="0.25">
      <c r="B2" s="216" t="s">
        <v>748</v>
      </c>
      <c r="C2" s="127" t="s">
        <v>108</v>
      </c>
      <c r="D2" s="127" t="s">
        <v>108</v>
      </c>
      <c r="E2" s="552"/>
      <c r="F2" s="127" t="s">
        <v>108</v>
      </c>
      <c r="G2" s="127" t="s">
        <v>108</v>
      </c>
      <c r="H2" s="127" t="s">
        <v>108</v>
      </c>
      <c r="I2" s="127" t="s">
        <v>108</v>
      </c>
      <c r="J2" s="127"/>
      <c r="K2" s="127"/>
      <c r="L2" s="127"/>
      <c r="M2" s="127"/>
      <c r="N2" s="127"/>
      <c r="O2" s="127"/>
      <c r="P2" s="127"/>
      <c r="Q2" s="127"/>
      <c r="R2" s="127"/>
      <c r="S2" s="127"/>
      <c r="T2" s="127"/>
      <c r="U2" s="127"/>
      <c r="V2" s="127"/>
      <c r="W2" s="127"/>
      <c r="X2" s="127"/>
      <c r="Y2" s="127"/>
      <c r="Z2" s="127"/>
    </row>
    <row r="3" spans="1:40" ht="14.45" customHeight="1" x14ac:dyDescent="0.25">
      <c r="B3" s="130" t="s">
        <v>108</v>
      </c>
      <c r="C3" s="133" t="s">
        <v>108</v>
      </c>
      <c r="D3" s="133" t="s">
        <v>108</v>
      </c>
      <c r="F3" s="133" t="s">
        <v>108</v>
      </c>
      <c r="G3" s="133" t="s">
        <v>108</v>
      </c>
      <c r="H3" s="133" t="s">
        <v>108</v>
      </c>
      <c r="I3" s="133" t="s">
        <v>108</v>
      </c>
      <c r="J3" s="127"/>
      <c r="K3" s="127"/>
      <c r="L3" s="127"/>
      <c r="M3" s="127"/>
      <c r="N3" s="127"/>
      <c r="O3" s="127"/>
      <c r="P3" s="127"/>
      <c r="Q3" s="133"/>
      <c r="R3" s="133"/>
      <c r="S3" s="133"/>
      <c r="T3" s="133"/>
      <c r="U3" s="133"/>
      <c r="V3" s="133"/>
      <c r="W3" s="133"/>
      <c r="X3" s="133"/>
      <c r="Y3" s="133"/>
      <c r="Z3" s="133"/>
    </row>
    <row r="4" spans="1:40" ht="14.45" customHeight="1" x14ac:dyDescent="0.25">
      <c r="B4" t="s">
        <v>749</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33"/>
      <c r="T5" s="133"/>
      <c r="U5" s="133"/>
      <c r="V5" s="133"/>
      <c r="W5" s="133"/>
      <c r="X5" s="133"/>
      <c r="Y5" s="133"/>
      <c r="Z5" s="133"/>
    </row>
    <row r="6" spans="1:40" ht="45" x14ac:dyDescent="0.25">
      <c r="B6" s="263" t="s">
        <v>37</v>
      </c>
      <c r="C6" s="211"/>
      <c r="D6" s="434" t="s">
        <v>743</v>
      </c>
      <c r="E6" s="261" t="s">
        <v>51</v>
      </c>
      <c r="F6" s="261" t="s">
        <v>52</v>
      </c>
      <c r="G6" s="165" t="s">
        <v>744</v>
      </c>
      <c r="H6" s="165" t="s">
        <v>745</v>
      </c>
      <c r="I6" s="261" t="s">
        <v>746</v>
      </c>
      <c r="L6" s="434" t="s">
        <v>743</v>
      </c>
      <c r="M6" s="261" t="s">
        <v>51</v>
      </c>
      <c r="N6" s="261" t="s">
        <v>52</v>
      </c>
      <c r="O6" s="165" t="s">
        <v>744</v>
      </c>
      <c r="P6" s="165" t="s">
        <v>745</v>
      </c>
      <c r="Q6" s="261" t="s">
        <v>746</v>
      </c>
      <c r="R6" s="133"/>
      <c r="S6" s="133"/>
      <c r="T6" s="133"/>
      <c r="U6" s="133"/>
      <c r="V6" s="133"/>
      <c r="W6" s="133"/>
      <c r="X6" s="133"/>
      <c r="Y6" s="133"/>
      <c r="Z6" s="133"/>
      <c r="AJ6" s="292"/>
      <c r="AK6" s="292"/>
      <c r="AL6" s="292"/>
      <c r="AM6" s="292"/>
      <c r="AN6" s="292"/>
    </row>
    <row r="7" spans="1:40" x14ac:dyDescent="0.25">
      <c r="B7" s="228" t="s">
        <v>1287</v>
      </c>
      <c r="C7" s="168"/>
      <c r="D7" s="391">
        <f>'Inputs and eligible population'!F49</f>
        <v>1882.9810103249768</v>
      </c>
      <c r="E7" s="391">
        <f>'Inputs and eligible population'!G49</f>
        <v>1901.1363506847645</v>
      </c>
      <c r="F7" s="391">
        <f>'Inputs and eligible population'!H49</f>
        <v>1919.4667413407433</v>
      </c>
      <c r="G7" s="391">
        <f>'Inputs and eligible population'!I49</f>
        <v>1937.9738700941659</v>
      </c>
      <c r="H7" s="391">
        <f>'Inputs and eligible population'!J49</f>
        <v>1956.6594410197388</v>
      </c>
      <c r="I7" s="391">
        <f>'Inputs and eligible population'!K49</f>
        <v>1975.5251746225297</v>
      </c>
      <c r="P7" s="133"/>
      <c r="Q7" s="133"/>
      <c r="R7" s="133"/>
      <c r="S7" s="133"/>
      <c r="T7" s="133"/>
      <c r="U7" s="133"/>
      <c r="V7" s="133"/>
      <c r="W7" s="133"/>
      <c r="X7" s="133"/>
      <c r="Y7" s="133"/>
      <c r="Z7" s="133"/>
      <c r="AJ7" s="292"/>
      <c r="AK7" s="292"/>
      <c r="AL7" s="292"/>
      <c r="AM7" s="292"/>
      <c r="AN7" s="292"/>
    </row>
    <row r="8" spans="1:40" x14ac:dyDescent="0.25">
      <c r="B8"/>
      <c r="P8" s="133"/>
      <c r="Q8" s="133"/>
      <c r="R8" s="133"/>
      <c r="S8" s="133"/>
      <c r="T8" s="133"/>
      <c r="U8" s="133"/>
      <c r="V8" s="133"/>
      <c r="W8" s="133"/>
      <c r="X8" s="133"/>
      <c r="Y8" s="133"/>
      <c r="Z8" s="133"/>
      <c r="AJ8" s="292"/>
      <c r="AK8" s="292"/>
      <c r="AL8" s="292"/>
      <c r="AM8" s="292"/>
      <c r="AN8" s="292"/>
    </row>
    <row r="9" spans="1:40" x14ac:dyDescent="0.25">
      <c r="B9" s="285" t="s">
        <v>750</v>
      </c>
      <c r="C9" s="451"/>
      <c r="D9" s="451"/>
      <c r="E9" s="452"/>
      <c r="F9" s="451"/>
      <c r="G9" s="453"/>
      <c r="H9" s="454"/>
      <c r="I9" s="454"/>
      <c r="J9" s="160"/>
      <c r="L9" s="257" t="s">
        <v>166</v>
      </c>
      <c r="M9" s="257" t="s">
        <v>166</v>
      </c>
      <c r="N9" s="257" t="s">
        <v>166</v>
      </c>
      <c r="O9" s="257" t="s">
        <v>166</v>
      </c>
      <c r="P9" s="257" t="s">
        <v>166</v>
      </c>
      <c r="Q9" s="257" t="s">
        <v>166</v>
      </c>
      <c r="R9" s="133"/>
      <c r="S9" s="133"/>
      <c r="T9" s="133"/>
      <c r="U9" s="133"/>
      <c r="V9" s="133"/>
      <c r="W9" s="133"/>
      <c r="X9" s="133"/>
      <c r="Y9" s="133"/>
      <c r="Z9" s="133"/>
      <c r="AJ9" s="292"/>
      <c r="AK9" s="292"/>
      <c r="AL9" s="292"/>
      <c r="AM9" s="292"/>
      <c r="AN9" s="292"/>
    </row>
    <row r="10" spans="1:40" x14ac:dyDescent="0.25">
      <c r="A10" s="302"/>
      <c r="B10" s="743" t="str">
        <f>'Capacity (national prices)  3rd'!B10</f>
        <v>First attendances - number of appointments</v>
      </c>
      <c r="C10" s="396"/>
      <c r="D10" s="436">
        <f>'Capacity (national prices)  3rd'!D10</f>
        <v>1882.9810103249768</v>
      </c>
      <c r="E10" s="436">
        <f>'Capacity (national prices)  3rd'!E10</f>
        <v>1901.1363506847642</v>
      </c>
      <c r="F10" s="436">
        <f>'Capacity (national prices)  3rd'!F10</f>
        <v>1919.4667413407433</v>
      </c>
      <c r="G10" s="436">
        <f>'Capacity (national prices)  3rd'!G10</f>
        <v>1937.9738700941659</v>
      </c>
      <c r="H10" s="436">
        <f>'Capacity (national prices)  3rd'!H10</f>
        <v>1956.659441019739</v>
      </c>
      <c r="I10" s="436">
        <f>'Capacity (national prices)  3rd'!I10</f>
        <v>1975.5251746225299</v>
      </c>
      <c r="L10" s="209"/>
      <c r="M10" s="209"/>
      <c r="N10" s="209"/>
      <c r="O10" s="209"/>
      <c r="P10" s="428"/>
      <c r="Q10" s="428"/>
      <c r="R10" s="133"/>
      <c r="S10" s="133"/>
      <c r="T10" s="133"/>
      <c r="U10" s="133"/>
      <c r="V10" s="133"/>
      <c r="W10" s="133"/>
      <c r="X10" s="133"/>
      <c r="Y10" s="133"/>
      <c r="Z10" s="133"/>
      <c r="AJ10" s="292"/>
      <c r="AK10" s="292"/>
      <c r="AL10" s="292"/>
      <c r="AM10" s="292"/>
      <c r="AN10" s="292"/>
    </row>
    <row r="11" spans="1:40" x14ac:dyDescent="0.25">
      <c r="A11" s="302"/>
      <c r="B11" s="743" t="str">
        <f>'Capacity (national prices)  3rd'!B11</f>
        <v>Follow up attendances - number of appointments</v>
      </c>
      <c r="C11" s="396"/>
      <c r="D11" s="436">
        <f>'Capacity (national prices)  3rd'!D11</f>
        <v>21540.134482207373</v>
      </c>
      <c r="E11" s="436">
        <f>'Capacity (national prices)  3rd'!E11</f>
        <v>21739.117012550647</v>
      </c>
      <c r="F11" s="436">
        <f>'Capacity (national prices)  3rd'!F11</f>
        <v>22439.205821262341</v>
      </c>
      <c r="G11" s="436">
        <f>'Capacity (national prices)  3rd'!G11</f>
        <v>23181.724756923271</v>
      </c>
      <c r="H11" s="436">
        <f>'Capacity (national prices)  3rd'!H11</f>
        <v>23405.23848371132</v>
      </c>
      <c r="I11" s="436">
        <f>'Capacity (national prices)  3rd'!I11</f>
        <v>23630.907286818601</v>
      </c>
      <c r="L11" s="209"/>
      <c r="M11" s="209"/>
      <c r="N11" s="209"/>
      <c r="O11" s="209"/>
      <c r="P11" s="428"/>
      <c r="Q11" s="428"/>
      <c r="R11" s="133"/>
      <c r="S11" s="133"/>
      <c r="T11" s="133"/>
      <c r="U11" s="133"/>
      <c r="V11" s="133"/>
      <c r="W11" s="133"/>
      <c r="X11" s="133"/>
      <c r="Y11" s="133"/>
      <c r="Z11" s="133"/>
      <c r="AJ11" s="292"/>
      <c r="AK11" s="292"/>
      <c r="AL11" s="292"/>
      <c r="AM11" s="292"/>
      <c r="AN11" s="292"/>
    </row>
    <row r="12" spans="1:40" x14ac:dyDescent="0.25">
      <c r="A12" s="302"/>
      <c r="B12" s="743" t="str">
        <f>B34</f>
        <v>First attendances - hours</v>
      </c>
      <c r="C12" s="396"/>
      <c r="D12" s="436">
        <f>D40</f>
        <v>627.66033677499217</v>
      </c>
      <c r="E12" s="436">
        <f t="shared" ref="E12:I12" si="0">E40</f>
        <v>633.71211689492145</v>
      </c>
      <c r="F12" s="436">
        <f t="shared" si="0"/>
        <v>639.82224711358106</v>
      </c>
      <c r="G12" s="436">
        <f t="shared" si="0"/>
        <v>645.99129003138864</v>
      </c>
      <c r="H12" s="436">
        <f t="shared" si="0"/>
        <v>652.21981367324622</v>
      </c>
      <c r="I12" s="436">
        <f t="shared" si="0"/>
        <v>658.50839154084326</v>
      </c>
      <c r="L12" s="299">
        <f>L40</f>
        <v>64.692950911398441</v>
      </c>
      <c r="M12" s="299">
        <f t="shared" ref="M12:Q12" si="1">M40</f>
        <v>65.316707888359559</v>
      </c>
      <c r="N12" s="299">
        <f t="shared" si="1"/>
        <v>65.946479009996807</v>
      </c>
      <c r="O12" s="299">
        <f t="shared" si="1"/>
        <v>66.582322263535218</v>
      </c>
      <c r="P12" s="299">
        <f t="shared" si="1"/>
        <v>67.224296195301491</v>
      </c>
      <c r="Q12" s="299">
        <f t="shared" si="1"/>
        <v>67.872459916114707</v>
      </c>
      <c r="R12" s="133"/>
      <c r="S12" s="133"/>
      <c r="T12" s="133"/>
      <c r="U12" s="133"/>
      <c r="V12" s="133"/>
      <c r="W12" s="133"/>
      <c r="X12" s="133"/>
      <c r="Y12" s="133"/>
      <c r="Z12" s="133"/>
      <c r="AJ12" s="292"/>
      <c r="AK12" s="292"/>
      <c r="AL12" s="292"/>
      <c r="AM12" s="292"/>
      <c r="AN12" s="292"/>
    </row>
    <row r="13" spans="1:40" x14ac:dyDescent="0.25">
      <c r="A13" s="302"/>
      <c r="B13" s="743" t="str">
        <f>B43</f>
        <v>Follow up attendances - hours</v>
      </c>
      <c r="C13" s="396"/>
      <c r="D13" s="436">
        <f>D49</f>
        <v>3590.0224137012292</v>
      </c>
      <c r="E13" s="436">
        <f t="shared" ref="E13:I13" si="2">E49</f>
        <v>3623.186168758441</v>
      </c>
      <c r="F13" s="436">
        <f t="shared" si="2"/>
        <v>3739.8676368770575</v>
      </c>
      <c r="G13" s="436">
        <f t="shared" si="2"/>
        <v>3863.6207928205458</v>
      </c>
      <c r="H13" s="436">
        <f t="shared" si="2"/>
        <v>3900.8730806185531</v>
      </c>
      <c r="I13" s="436">
        <f t="shared" si="2"/>
        <v>3938.4845478031002</v>
      </c>
      <c r="L13" s="299">
        <f>L49</f>
        <v>370.02361018018564</v>
      </c>
      <c r="M13" s="299">
        <f t="shared" ref="M13:Q13" si="3">M49</f>
        <v>373.44179841393247</v>
      </c>
      <c r="N13" s="299">
        <f t="shared" si="3"/>
        <v>385.46815733291828</v>
      </c>
      <c r="O13" s="299">
        <f t="shared" si="3"/>
        <v>398.22339511601365</v>
      </c>
      <c r="P13" s="299">
        <f t="shared" si="3"/>
        <v>402.06298841935427</v>
      </c>
      <c r="Q13" s="299">
        <f t="shared" si="3"/>
        <v>405.93960234206554</v>
      </c>
      <c r="R13" s="133"/>
      <c r="S13" s="133"/>
      <c r="T13" s="133"/>
      <c r="U13" s="133"/>
      <c r="V13" s="133"/>
      <c r="W13" s="133"/>
      <c r="X13" s="133"/>
      <c r="Y13" s="133"/>
      <c r="Z13" s="133"/>
      <c r="AJ13" s="292"/>
      <c r="AK13" s="292"/>
      <c r="AL13" s="292"/>
      <c r="AM13" s="292"/>
      <c r="AN13" s="292"/>
    </row>
    <row r="14" spans="1:40" x14ac:dyDescent="0.25">
      <c r="A14" s="302"/>
      <c r="B14" s="455" t="str">
        <f>B52</f>
        <v>Administrations</v>
      </c>
      <c r="C14" s="430"/>
      <c r="D14" s="429">
        <f t="shared" ref="D14:I14" si="4">D57</f>
        <v>51058.778577328478</v>
      </c>
      <c r="E14" s="429">
        <f t="shared" si="4"/>
        <v>53688.019843876507</v>
      </c>
      <c r="F14" s="429">
        <f t="shared" si="4"/>
        <v>57703.247459607861</v>
      </c>
      <c r="G14" s="429">
        <f t="shared" si="4"/>
        <v>59311.259468283999</v>
      </c>
      <c r="H14" s="429">
        <f t="shared" si="4"/>
        <v>59883.12721252031</v>
      </c>
      <c r="I14" s="429">
        <f t="shared" si="4"/>
        <v>60460.50879544139</v>
      </c>
      <c r="L14" s="209"/>
      <c r="M14" s="209"/>
      <c r="N14" s="209"/>
      <c r="O14" s="209"/>
      <c r="P14" s="428"/>
      <c r="Q14" s="428"/>
      <c r="R14" s="133"/>
      <c r="S14" s="133"/>
      <c r="T14" s="133"/>
      <c r="U14" s="133"/>
      <c r="V14" s="133"/>
      <c r="W14" s="133"/>
      <c r="X14" s="133"/>
      <c r="Y14" s="133"/>
      <c r="Z14" s="133"/>
      <c r="AJ14" s="292"/>
      <c r="AK14" s="292"/>
      <c r="AL14" s="292"/>
      <c r="AM14" s="292"/>
      <c r="AN14" s="292"/>
    </row>
    <row r="15" spans="1:40" x14ac:dyDescent="0.25">
      <c r="A15" s="293"/>
      <c r="B15" s="456" t="str">
        <f>B76</f>
        <v>Administrations - duration of administrations (hours)</v>
      </c>
      <c r="C15" s="463"/>
      <c r="D15" s="431">
        <f t="shared" ref="D15:I15" si="5">D82</f>
        <v>6882.2955927377907</v>
      </c>
      <c r="E15" s="431">
        <f t="shared" si="5"/>
        <v>7285.8787382433256</v>
      </c>
      <c r="F15" s="431">
        <f t="shared" si="5"/>
        <v>7939.057455789185</v>
      </c>
      <c r="G15" s="431">
        <f t="shared" si="5"/>
        <v>8190.8790536608331</v>
      </c>
      <c r="H15" s="431">
        <f t="shared" si="5"/>
        <v>8269.8539324565572</v>
      </c>
      <c r="I15" s="431">
        <f t="shared" si="5"/>
        <v>8349.5902718281177</v>
      </c>
      <c r="L15" s="299">
        <f>L82</f>
        <v>268.34070516084648</v>
      </c>
      <c r="M15" s="299">
        <f t="shared" ref="M15:Q15" si="6">M82</f>
        <v>284.07641200410728</v>
      </c>
      <c r="N15" s="299">
        <f t="shared" si="6"/>
        <v>309.54385020122038</v>
      </c>
      <c r="O15" s="299">
        <f t="shared" si="6"/>
        <v>319.36237430223593</v>
      </c>
      <c r="P15" s="299">
        <f t="shared" si="6"/>
        <v>322.44160482648113</v>
      </c>
      <c r="Q15" s="299">
        <f t="shared" si="6"/>
        <v>325.55052469857833</v>
      </c>
      <c r="R15" s="133"/>
      <c r="S15" s="133"/>
      <c r="T15" s="133"/>
      <c r="U15" s="133"/>
      <c r="V15" s="133"/>
      <c r="W15" s="133"/>
      <c r="X15" s="133"/>
      <c r="Y15" s="133"/>
      <c r="Z15" s="133"/>
      <c r="AJ15" s="292"/>
      <c r="AK15" s="292"/>
      <c r="AL15" s="292"/>
      <c r="AM15" s="292"/>
      <c r="AN15" s="292"/>
    </row>
    <row r="16" spans="1:40" x14ac:dyDescent="0.25">
      <c r="A16" s="293"/>
      <c r="B16" s="456" t="str">
        <f>B85</f>
        <v>Preparation time before administration (hours)</v>
      </c>
      <c r="C16" s="463"/>
      <c r="D16" s="431">
        <f t="shared" ref="D16:I16" si="7">D91</f>
        <v>10323.443389106686</v>
      </c>
      <c r="E16" s="431">
        <f t="shared" si="7"/>
        <v>10928.818107364988</v>
      </c>
      <c r="F16" s="431">
        <f t="shared" si="7"/>
        <v>11908.586183683778</v>
      </c>
      <c r="G16" s="431">
        <f t="shared" si="7"/>
        <v>12286.31858049125</v>
      </c>
      <c r="H16" s="431">
        <f t="shared" si="7"/>
        <v>12404.780898684836</v>
      </c>
      <c r="I16" s="431">
        <f t="shared" si="7"/>
        <v>12524.385407742178</v>
      </c>
      <c r="L16" s="299">
        <f>L91</f>
        <v>402.51105774126972</v>
      </c>
      <c r="M16" s="299">
        <f t="shared" ref="M16:Q16" si="8">M91</f>
        <v>426.11461800616092</v>
      </c>
      <c r="N16" s="299">
        <f t="shared" si="8"/>
        <v>464.31577530183051</v>
      </c>
      <c r="O16" s="299">
        <f t="shared" si="8"/>
        <v>479.04356145335385</v>
      </c>
      <c r="P16" s="299">
        <f t="shared" si="8"/>
        <v>483.66240723972174</v>
      </c>
      <c r="Q16" s="299">
        <f t="shared" si="8"/>
        <v>488.32578704786749</v>
      </c>
      <c r="R16" s="133"/>
      <c r="S16" s="133"/>
      <c r="T16" s="133"/>
      <c r="U16" s="133"/>
      <c r="V16" s="133"/>
      <c r="W16" s="133"/>
      <c r="X16" s="133"/>
      <c r="Y16" s="133"/>
      <c r="Z16" s="133"/>
      <c r="AJ16" s="292"/>
      <c r="AK16" s="292"/>
      <c r="AL16" s="292"/>
      <c r="AM16" s="292"/>
      <c r="AN16" s="292"/>
    </row>
    <row r="17" spans="1:40" x14ac:dyDescent="0.25">
      <c r="A17" s="293"/>
      <c r="B17" s="456" t="str">
        <f>B94</f>
        <v>Post administration nursing time (hours)</v>
      </c>
      <c r="C17" s="463"/>
      <c r="D17" s="431">
        <f t="shared" ref="D17:I17" si="9">D100</f>
        <v>10323.443389106686</v>
      </c>
      <c r="E17" s="432">
        <f t="shared" si="9"/>
        <v>10928.818107364988</v>
      </c>
      <c r="F17" s="431">
        <f t="shared" si="9"/>
        <v>11908.586183683778</v>
      </c>
      <c r="G17" s="431">
        <f t="shared" si="9"/>
        <v>12286.31858049125</v>
      </c>
      <c r="H17" s="431">
        <f t="shared" si="9"/>
        <v>12404.780898684836</v>
      </c>
      <c r="I17" s="431">
        <f t="shared" si="9"/>
        <v>12524.385407742178</v>
      </c>
      <c r="L17" s="299">
        <f>L100</f>
        <v>402.51105774126972</v>
      </c>
      <c r="M17" s="299">
        <f t="shared" ref="M17:Q17" si="10">M100</f>
        <v>426.11461800616092</v>
      </c>
      <c r="N17" s="299">
        <f t="shared" si="10"/>
        <v>464.31577530183051</v>
      </c>
      <c r="O17" s="299">
        <f t="shared" si="10"/>
        <v>479.04356145335385</v>
      </c>
      <c r="P17" s="299">
        <f t="shared" si="10"/>
        <v>483.66240723972174</v>
      </c>
      <c r="Q17" s="299">
        <f t="shared" si="10"/>
        <v>488.32578704786749</v>
      </c>
      <c r="R17" s="133"/>
      <c r="S17" s="133"/>
      <c r="T17" s="133"/>
      <c r="U17" s="133"/>
      <c r="V17" s="133"/>
      <c r="W17" s="133"/>
      <c r="X17" s="133"/>
      <c r="Y17" s="133"/>
      <c r="Z17" s="133"/>
      <c r="AJ17" s="292"/>
      <c r="AK17" s="292"/>
      <c r="AL17" s="292"/>
      <c r="AM17" s="292"/>
      <c r="AN17" s="292"/>
    </row>
    <row r="18" spans="1:40" hidden="1" x14ac:dyDescent="0.25">
      <c r="A18" s="295"/>
      <c r="B18" s="457" t="str">
        <f>B104</f>
        <v>In-house aseptic unit preparations, number made</v>
      </c>
      <c r="C18" s="464"/>
      <c r="D18" s="433" t="e">
        <f t="shared" ref="D18:I18" si="11">D109</f>
        <v>#REF!</v>
      </c>
      <c r="E18" s="433" t="e">
        <f t="shared" si="11"/>
        <v>#REF!</v>
      </c>
      <c r="F18" s="433" t="e">
        <f t="shared" si="11"/>
        <v>#REF!</v>
      </c>
      <c r="G18" s="433" t="e">
        <f t="shared" si="11"/>
        <v>#REF!</v>
      </c>
      <c r="H18" s="433" t="e">
        <f t="shared" si="11"/>
        <v>#REF!</v>
      </c>
      <c r="I18" s="433" t="e">
        <f t="shared" si="11"/>
        <v>#REF!</v>
      </c>
      <c r="L18" s="209"/>
      <c r="M18" s="209"/>
      <c r="N18" s="209"/>
      <c r="O18" s="209"/>
      <c r="P18" s="428"/>
      <c r="Q18" s="428"/>
      <c r="R18" s="133"/>
      <c r="S18" s="133"/>
      <c r="T18" s="133"/>
      <c r="U18" s="133"/>
      <c r="V18" s="133"/>
      <c r="W18" s="133"/>
      <c r="X18" s="133"/>
      <c r="Y18" s="133"/>
      <c r="Z18" s="133"/>
      <c r="AJ18" s="292"/>
      <c r="AK18" s="292"/>
      <c r="AL18" s="292"/>
      <c r="AM18" s="292"/>
      <c r="AN18" s="292"/>
    </row>
    <row r="19" spans="1:40" hidden="1" x14ac:dyDescent="0.25">
      <c r="A19" s="295"/>
      <c r="B19" s="457" t="str">
        <f>B112</f>
        <v>Bought-in aseptic unit preparations, number bought in</v>
      </c>
      <c r="C19" s="464"/>
      <c r="D19" s="433" t="e">
        <f t="shared" ref="D19:I19" si="12">D117</f>
        <v>#REF!</v>
      </c>
      <c r="E19" s="433" t="e">
        <f t="shared" si="12"/>
        <v>#REF!</v>
      </c>
      <c r="F19" s="433" t="e">
        <f t="shared" si="12"/>
        <v>#REF!</v>
      </c>
      <c r="G19" s="433" t="e">
        <f t="shared" si="12"/>
        <v>#REF!</v>
      </c>
      <c r="H19" s="433" t="e">
        <f t="shared" si="12"/>
        <v>#REF!</v>
      </c>
      <c r="I19" s="433" t="e">
        <f t="shared" si="12"/>
        <v>#REF!</v>
      </c>
      <c r="L19" s="209"/>
      <c r="M19" s="209"/>
      <c r="N19" s="209"/>
      <c r="O19" s="209"/>
      <c r="P19" s="428"/>
      <c r="Q19" s="428"/>
      <c r="R19" s="133"/>
      <c r="S19" s="133"/>
      <c r="T19" s="133"/>
      <c r="U19" s="133"/>
      <c r="V19" s="133"/>
      <c r="W19" s="133"/>
      <c r="X19" s="133"/>
      <c r="Y19" s="133"/>
      <c r="Z19" s="133"/>
      <c r="AJ19" s="292"/>
      <c r="AK19" s="292"/>
      <c r="AL19" s="292"/>
      <c r="AM19" s="292"/>
      <c r="AN19" s="292"/>
    </row>
    <row r="20" spans="1:40" hidden="1" x14ac:dyDescent="0.25">
      <c r="A20" s="295"/>
      <c r="B20" s="457" t="str">
        <f>B120</f>
        <v>In-house aseptic unit preparations, pharmacy time (hours)</v>
      </c>
      <c r="C20" s="464"/>
      <c r="D20" s="433" t="e">
        <f t="shared" ref="D20:I20" si="13">D125</f>
        <v>#REF!</v>
      </c>
      <c r="E20" s="433" t="e">
        <f t="shared" si="13"/>
        <v>#REF!</v>
      </c>
      <c r="F20" s="433" t="e">
        <f t="shared" si="13"/>
        <v>#REF!</v>
      </c>
      <c r="G20" s="433" t="e">
        <f t="shared" si="13"/>
        <v>#REF!</v>
      </c>
      <c r="H20" s="433" t="e">
        <f t="shared" si="13"/>
        <v>#REF!</v>
      </c>
      <c r="I20" s="433" t="e">
        <f t="shared" si="13"/>
        <v>#REF!</v>
      </c>
      <c r="L20" s="209"/>
      <c r="M20" s="209"/>
      <c r="N20" s="209"/>
      <c r="O20" s="209"/>
      <c r="P20" s="428"/>
      <c r="Q20" s="428"/>
      <c r="R20" s="133"/>
      <c r="S20" s="133"/>
      <c r="T20" s="133"/>
      <c r="U20" s="133"/>
      <c r="V20" s="133"/>
      <c r="W20" s="133"/>
      <c r="X20" s="133"/>
      <c r="Y20" s="133"/>
      <c r="Z20" s="133"/>
      <c r="AJ20" s="292"/>
      <c r="AK20" s="292"/>
      <c r="AL20" s="292"/>
      <c r="AM20" s="292"/>
      <c r="AN20" s="292"/>
    </row>
    <row r="21" spans="1:40" hidden="1" x14ac:dyDescent="0.25">
      <c r="A21" s="295"/>
      <c r="B21" s="457" t="str">
        <f>B128</f>
        <v>Bought-in aseptic unit preparations, pharmacy time (hours)</v>
      </c>
      <c r="C21" s="464"/>
      <c r="D21" s="433" t="e">
        <f t="shared" ref="D21:I21" si="14">D133</f>
        <v>#REF!</v>
      </c>
      <c r="E21" s="433" t="e">
        <f t="shared" si="14"/>
        <v>#REF!</v>
      </c>
      <c r="F21" s="433" t="e">
        <f t="shared" si="14"/>
        <v>#REF!</v>
      </c>
      <c r="G21" s="433" t="e">
        <f t="shared" si="14"/>
        <v>#REF!</v>
      </c>
      <c r="H21" s="433" t="e">
        <f t="shared" si="14"/>
        <v>#REF!</v>
      </c>
      <c r="I21" s="433" t="e">
        <f t="shared" si="14"/>
        <v>#REF!</v>
      </c>
      <c r="L21" s="209"/>
      <c r="M21" s="209"/>
      <c r="N21" s="209"/>
      <c r="O21" s="209"/>
      <c r="P21" s="428"/>
      <c r="Q21" s="428"/>
      <c r="R21" s="133"/>
      <c r="S21" s="133"/>
      <c r="T21" s="133"/>
      <c r="U21" s="133"/>
      <c r="V21" s="133"/>
      <c r="W21" s="133"/>
      <c r="X21" s="133"/>
      <c r="Y21" s="133"/>
      <c r="Z21" s="133"/>
      <c r="AJ21" s="292"/>
      <c r="AK21" s="292"/>
      <c r="AL21" s="292"/>
      <c r="AM21" s="292"/>
      <c r="AN21" s="292"/>
    </row>
    <row r="22" spans="1:40" x14ac:dyDescent="0.25">
      <c r="A22" s="295"/>
      <c r="B22" s="457" t="str">
        <f>B136</f>
        <v>Drug regimen prep (hours) (including aseptics)</v>
      </c>
      <c r="C22" s="464"/>
      <c r="D22" s="433">
        <f t="shared" ref="D22:I22" si="15">D142</f>
        <v>0</v>
      </c>
      <c r="E22" s="433">
        <f t="shared" si="15"/>
        <v>0</v>
      </c>
      <c r="F22" s="433">
        <f t="shared" si="15"/>
        <v>0</v>
      </c>
      <c r="G22" s="433">
        <f t="shared" si="15"/>
        <v>0</v>
      </c>
      <c r="H22" s="433">
        <f t="shared" si="15"/>
        <v>0</v>
      </c>
      <c r="I22" s="433">
        <f t="shared" si="15"/>
        <v>0</v>
      </c>
      <c r="L22" s="299">
        <f>L142</f>
        <v>0</v>
      </c>
      <c r="M22" s="299">
        <f t="shared" ref="M22:Q22" si="16">M142</f>
        <v>0</v>
      </c>
      <c r="N22" s="299">
        <f t="shared" si="16"/>
        <v>0</v>
      </c>
      <c r="O22" s="299">
        <f t="shared" si="16"/>
        <v>0</v>
      </c>
      <c r="P22" s="299">
        <f t="shared" si="16"/>
        <v>0</v>
      </c>
      <c r="Q22" s="299">
        <f t="shared" si="16"/>
        <v>0</v>
      </c>
      <c r="R22" s="133"/>
      <c r="S22" s="133"/>
      <c r="T22" s="133"/>
      <c r="U22" s="133"/>
      <c r="V22" s="133"/>
      <c r="W22" s="133"/>
      <c r="X22" s="133"/>
      <c r="Y22" s="133"/>
      <c r="Z22" s="133"/>
      <c r="AJ22" s="292"/>
      <c r="AK22" s="292"/>
      <c r="AL22" s="292"/>
      <c r="AM22" s="292"/>
      <c r="AN22" s="292"/>
    </row>
    <row r="23" spans="1:40" x14ac:dyDescent="0.25">
      <c r="A23" s="338"/>
      <c r="B23" s="459" t="str">
        <f>B146</f>
        <v>Appointments with x specialty</v>
      </c>
      <c r="C23" s="465"/>
      <c r="D23" s="437">
        <f t="shared" ref="D23:I23" si="17">D152</f>
        <v>0</v>
      </c>
      <c r="E23" s="437">
        <f t="shared" si="17"/>
        <v>0</v>
      </c>
      <c r="F23" s="437">
        <f t="shared" si="17"/>
        <v>0</v>
      </c>
      <c r="G23" s="437">
        <f t="shared" si="17"/>
        <v>0</v>
      </c>
      <c r="H23" s="437">
        <f t="shared" si="17"/>
        <v>0</v>
      </c>
      <c r="I23" s="437">
        <f t="shared" si="17"/>
        <v>0</v>
      </c>
      <c r="L23" s="299">
        <f>L152</f>
        <v>0</v>
      </c>
      <c r="M23" s="299">
        <f t="shared" ref="M23:P23" si="18">M152</f>
        <v>0</v>
      </c>
      <c r="N23" s="299">
        <f t="shared" si="18"/>
        <v>0</v>
      </c>
      <c r="O23" s="299">
        <f t="shared" si="18"/>
        <v>0</v>
      </c>
      <c r="P23" s="299">
        <f t="shared" si="18"/>
        <v>0</v>
      </c>
      <c r="Q23" s="299">
        <f>Q152</f>
        <v>0</v>
      </c>
      <c r="R23" s="133"/>
      <c r="S23" s="133"/>
      <c r="T23" s="133"/>
      <c r="U23" s="133"/>
      <c r="V23" s="133"/>
      <c r="W23" s="133"/>
      <c r="X23" s="133"/>
      <c r="Y23" s="133"/>
      <c r="Z23" s="133"/>
      <c r="AJ23" s="292"/>
      <c r="AK23" s="292"/>
      <c r="AL23" s="292"/>
      <c r="AM23" s="292"/>
      <c r="AN23" s="292"/>
    </row>
    <row r="24" spans="1:40" x14ac:dyDescent="0.25">
      <c r="A24" s="296"/>
      <c r="B24" s="460" t="s">
        <v>1164</v>
      </c>
      <c r="C24" s="466"/>
      <c r="D24" s="438">
        <f t="shared" ref="D24:I24" si="19">D162</f>
        <v>21461.520852710266</v>
      </c>
      <c r="E24" s="438">
        <f t="shared" si="19"/>
        <v>21659.777169439145</v>
      </c>
      <c r="F24" s="438">
        <f t="shared" si="19"/>
        <v>22125.249351933664</v>
      </c>
      <c r="G24" s="438">
        <f t="shared" si="19"/>
        <v>22613.878130531841</v>
      </c>
      <c r="H24" s="438">
        <f t="shared" si="19"/>
        <v>22831.916789479175</v>
      </c>
      <c r="I24" s="438">
        <f t="shared" si="19"/>
        <v>23052.057735195776</v>
      </c>
      <c r="L24" s="299">
        <f t="shared" ref="L24:Q24" si="20">L162</f>
        <v>0</v>
      </c>
      <c r="M24" s="299">
        <f t="shared" si="20"/>
        <v>0</v>
      </c>
      <c r="N24" s="299">
        <f t="shared" si="20"/>
        <v>0</v>
      </c>
      <c r="O24" s="299">
        <f t="shared" si="20"/>
        <v>0</v>
      </c>
      <c r="P24" s="299">
        <f t="shared" si="20"/>
        <v>0</v>
      </c>
      <c r="Q24" s="299">
        <f t="shared" si="20"/>
        <v>0</v>
      </c>
      <c r="R24" s="133"/>
      <c r="S24" s="133"/>
      <c r="T24" s="133"/>
      <c r="U24" s="133"/>
      <c r="V24" s="133"/>
      <c r="W24" s="133"/>
      <c r="X24" s="133"/>
      <c r="Y24" s="133"/>
      <c r="Z24" s="133"/>
      <c r="AJ24" s="292"/>
      <c r="AK24" s="292"/>
      <c r="AL24" s="292"/>
      <c r="AM24" s="292"/>
      <c r="AN24" s="292"/>
    </row>
    <row r="25" spans="1:40" x14ac:dyDescent="0.25">
      <c r="A25" s="296"/>
      <c r="B25" s="460" t="s">
        <v>1165</v>
      </c>
      <c r="C25" s="466"/>
      <c r="D25" s="438">
        <f t="shared" ref="D25:I25" si="21">D171</f>
        <v>18603.852382010773</v>
      </c>
      <c r="E25" s="438">
        <f t="shared" si="21"/>
        <v>18783.227144765471</v>
      </c>
      <c r="F25" s="438">
        <f t="shared" si="21"/>
        <v>19196.522968493617</v>
      </c>
      <c r="G25" s="438">
        <f t="shared" si="21"/>
        <v>19630.694351735237</v>
      </c>
      <c r="H25" s="438">
        <f t="shared" si="21"/>
        <v>19709.201662611107</v>
      </c>
      <c r="I25" s="438">
        <f t="shared" si="21"/>
        <v>19899.233990309745</v>
      </c>
      <c r="L25" s="299">
        <f t="shared" ref="L25:Q25" si="22">L171</f>
        <v>0</v>
      </c>
      <c r="M25" s="299">
        <f t="shared" si="22"/>
        <v>0</v>
      </c>
      <c r="N25" s="299">
        <f t="shared" si="22"/>
        <v>0</v>
      </c>
      <c r="O25" s="299">
        <f t="shared" si="22"/>
        <v>0</v>
      </c>
      <c r="P25" s="299">
        <f t="shared" si="22"/>
        <v>0</v>
      </c>
      <c r="Q25" s="299">
        <f t="shared" si="22"/>
        <v>0</v>
      </c>
      <c r="R25" s="133"/>
      <c r="S25" s="133"/>
      <c r="T25" s="133"/>
      <c r="U25" s="133"/>
      <c r="V25" s="133"/>
      <c r="W25" s="133"/>
      <c r="X25" s="133"/>
      <c r="Y25" s="133"/>
      <c r="Z25" s="133"/>
      <c r="AJ25" s="292"/>
      <c r="AK25" s="292"/>
      <c r="AL25" s="292"/>
      <c r="AM25" s="292"/>
      <c r="AN25" s="292"/>
    </row>
    <row r="26" spans="1:40" x14ac:dyDescent="0.25">
      <c r="A26" s="296"/>
      <c r="B26" s="460" t="s">
        <v>1166</v>
      </c>
      <c r="C26" s="466"/>
      <c r="D26" s="438">
        <f t="shared" ref="D26:I26" si="23">D180</f>
        <v>11749.801504427856</v>
      </c>
      <c r="E26" s="438">
        <f t="shared" si="23"/>
        <v>11863.090828272931</v>
      </c>
      <c r="F26" s="438">
        <f t="shared" si="23"/>
        <v>12124.119769574916</v>
      </c>
      <c r="G26" s="438">
        <f t="shared" si="23"/>
        <v>12398.333274780151</v>
      </c>
      <c r="H26" s="438">
        <f t="shared" si="23"/>
        <v>12447.916839543854</v>
      </c>
      <c r="I26" s="438">
        <f t="shared" si="23"/>
        <v>12567.937257037735</v>
      </c>
      <c r="L26" s="299">
        <f t="shared" ref="L26:Q26" si="24">L180</f>
        <v>0</v>
      </c>
      <c r="M26" s="299">
        <f t="shared" si="24"/>
        <v>0</v>
      </c>
      <c r="N26" s="299">
        <f t="shared" si="24"/>
        <v>0</v>
      </c>
      <c r="O26" s="299">
        <f t="shared" si="24"/>
        <v>0</v>
      </c>
      <c r="P26" s="299">
        <f t="shared" si="24"/>
        <v>0</v>
      </c>
      <c r="Q26" s="299">
        <f t="shared" si="24"/>
        <v>0</v>
      </c>
      <c r="R26" s="133"/>
      <c r="S26" s="133"/>
      <c r="T26" s="133"/>
      <c r="U26" s="133"/>
      <c r="V26" s="133"/>
      <c r="W26" s="133"/>
      <c r="X26" s="133"/>
      <c r="Y26" s="133"/>
      <c r="Z26" s="133"/>
      <c r="AJ26" s="292"/>
      <c r="AK26" s="292"/>
      <c r="AL26" s="292"/>
      <c r="AM26" s="292"/>
      <c r="AN26" s="292"/>
    </row>
    <row r="27" spans="1:40" x14ac:dyDescent="0.25">
      <c r="A27" s="296"/>
      <c r="B27" s="461" t="s">
        <v>1167</v>
      </c>
      <c r="C27" s="447"/>
      <c r="D27" s="438">
        <f t="shared" ref="D27:I27" si="25">D189</f>
        <v>12728.951629796844</v>
      </c>
      <c r="E27" s="438">
        <f t="shared" si="25"/>
        <v>12851.681730629007</v>
      </c>
      <c r="F27" s="438">
        <f t="shared" si="25"/>
        <v>13134.46308370616</v>
      </c>
      <c r="G27" s="438">
        <f t="shared" si="25"/>
        <v>13431.52771434516</v>
      </c>
      <c r="H27" s="438">
        <f t="shared" si="25"/>
        <v>13485.243242839177</v>
      </c>
      <c r="I27" s="438">
        <f t="shared" si="25"/>
        <v>13615.265361790878</v>
      </c>
      <c r="J27" s="133"/>
      <c r="K27" s="133"/>
      <c r="L27" s="299">
        <f t="shared" ref="L27:Q27" si="26">L189</f>
        <v>0</v>
      </c>
      <c r="M27" s="299">
        <f t="shared" si="26"/>
        <v>0</v>
      </c>
      <c r="N27" s="299">
        <f t="shared" si="26"/>
        <v>0</v>
      </c>
      <c r="O27" s="299">
        <f t="shared" si="26"/>
        <v>0</v>
      </c>
      <c r="P27" s="299">
        <f t="shared" si="26"/>
        <v>0</v>
      </c>
      <c r="Q27" s="299">
        <f t="shared" si="26"/>
        <v>0</v>
      </c>
      <c r="R27" s="133"/>
      <c r="S27" s="133"/>
      <c r="T27" s="133"/>
      <c r="U27" s="133"/>
      <c r="V27" s="133"/>
      <c r="W27" s="133"/>
      <c r="X27" s="133"/>
      <c r="Y27" s="133"/>
      <c r="Z27" s="133"/>
    </row>
    <row r="28" spans="1:40" x14ac:dyDescent="0.25">
      <c r="A28" s="297"/>
      <c r="B28" s="462" t="str">
        <f>B193</f>
        <v>Adverse events, various (cases)</v>
      </c>
      <c r="C28" s="444"/>
      <c r="D28" s="439">
        <f t="shared" ref="D28:I28" si="27">D212</f>
        <v>1906.179201248671</v>
      </c>
      <c r="E28" s="439">
        <f t="shared" si="27"/>
        <v>2092.7003729082699</v>
      </c>
      <c r="F28" s="439">
        <f t="shared" si="27"/>
        <v>2287.7854841490471</v>
      </c>
      <c r="G28" s="439">
        <f t="shared" si="27"/>
        <v>2309.8438713059836</v>
      </c>
      <c r="H28" s="439">
        <f t="shared" si="27"/>
        <v>2332.1149411848514</v>
      </c>
      <c r="I28" s="439">
        <f t="shared" si="27"/>
        <v>2354.6007444315082</v>
      </c>
      <c r="J28" s="133"/>
      <c r="K28" s="133"/>
      <c r="L28" s="299">
        <f t="shared" ref="L28:P28" si="28">L212</f>
        <v>2502.9364389434918</v>
      </c>
      <c r="M28" s="299">
        <f t="shared" si="28"/>
        <v>2621.4492535613967</v>
      </c>
      <c r="N28" s="299">
        <f t="shared" si="28"/>
        <v>2744.9023146088757</v>
      </c>
      <c r="O28" s="299">
        <f t="shared" si="28"/>
        <v>2771.3681342336276</v>
      </c>
      <c r="P28" s="299">
        <f t="shared" si="28"/>
        <v>2798.0891321955751</v>
      </c>
      <c r="Q28" s="299">
        <f>Q212</f>
        <v>2825.0677688751171</v>
      </c>
      <c r="R28" s="133"/>
      <c r="S28" s="133"/>
      <c r="T28" s="133"/>
      <c r="U28" s="133"/>
      <c r="V28" s="133"/>
      <c r="W28" s="133"/>
      <c r="X28" s="133"/>
      <c r="Y28" s="133"/>
      <c r="Z28" s="133"/>
    </row>
    <row r="29" spans="1:40" x14ac:dyDescent="0.25">
      <c r="B29" s="250"/>
      <c r="D29" s="292"/>
      <c r="F29" s="133"/>
      <c r="G29" s="133"/>
      <c r="H29" s="133"/>
      <c r="I29" s="133"/>
      <c r="J29" s="133"/>
      <c r="K29" s="133"/>
      <c r="L29" s="300">
        <f t="shared" ref="L29:Q29" si="29">SUM(L10:L28)</f>
        <v>4011.0158206784618</v>
      </c>
      <c r="M29" s="300">
        <f t="shared" si="29"/>
        <v>4196.5134078801184</v>
      </c>
      <c r="N29" s="300">
        <f t="shared" si="29"/>
        <v>4434.4923517566722</v>
      </c>
      <c r="O29" s="300">
        <f t="shared" si="29"/>
        <v>4513.6233488221205</v>
      </c>
      <c r="P29" s="300">
        <f t="shared" si="29"/>
        <v>4557.1428361161552</v>
      </c>
      <c r="Q29" s="300">
        <f t="shared" si="29"/>
        <v>4601.08192992761</v>
      </c>
      <c r="R29" s="133"/>
      <c r="S29" s="133"/>
      <c r="T29" s="133"/>
      <c r="U29" s="133"/>
      <c r="V29" s="133"/>
      <c r="W29" s="133"/>
      <c r="X29" s="133"/>
      <c r="Y29" s="133"/>
      <c r="Z29" s="133"/>
    </row>
    <row r="30" spans="1:40" x14ac:dyDescent="0.25">
      <c r="B30" s="327"/>
      <c r="C30" s="327"/>
      <c r="D30" s="327"/>
      <c r="E30" s="327"/>
      <c r="F30" s="327"/>
      <c r="G30" s="327"/>
      <c r="H30" s="327"/>
      <c r="I30" s="327"/>
      <c r="J30" s="327"/>
      <c r="K30" s="327"/>
      <c r="L30" s="327"/>
      <c r="P30" s="133"/>
      <c r="Q30" s="133"/>
      <c r="R30" s="133"/>
      <c r="S30" s="133"/>
      <c r="V30" s="133"/>
      <c r="W30" s="133"/>
      <c r="X30" s="133"/>
      <c r="Y30" s="133"/>
      <c r="Z30" s="133"/>
      <c r="AJ30" s="292"/>
      <c r="AK30" s="292"/>
      <c r="AL30" s="292"/>
      <c r="AM30" s="292"/>
      <c r="AN30" s="292"/>
    </row>
    <row r="31" spans="1:40" x14ac:dyDescent="0.25">
      <c r="B31" s="383" t="s">
        <v>751</v>
      </c>
      <c r="C31" s="384"/>
      <c r="D31" s="384"/>
      <c r="E31" s="385"/>
      <c r="F31" s="384"/>
      <c r="G31" s="386"/>
      <c r="H31" s="387"/>
      <c r="I31" s="387"/>
      <c r="J31" s="387"/>
      <c r="K31" s="387"/>
      <c r="L31" s="387"/>
      <c r="M31" s="387"/>
      <c r="N31" s="387"/>
      <c r="O31" s="387"/>
      <c r="P31" s="387"/>
      <c r="Q31" s="388"/>
      <c r="R31" s="133"/>
      <c r="S31" s="133"/>
      <c r="T31" s="133"/>
      <c r="U31" s="133"/>
      <c r="V31" s="133"/>
      <c r="W31" s="133"/>
      <c r="X31" s="133"/>
      <c r="Y31" s="133"/>
      <c r="Z31" s="133"/>
      <c r="AJ31" s="292"/>
      <c r="AK31" s="292"/>
      <c r="AL31" s="292"/>
      <c r="AM31" s="292"/>
      <c r="AN31" s="292"/>
    </row>
    <row r="32" spans="1:40" x14ac:dyDescent="0.25">
      <c r="A32" s="294"/>
      <c r="B32" s="739"/>
      <c r="C32" s="734"/>
      <c r="D32" s="735"/>
      <c r="E32" s="736"/>
      <c r="F32" s="294"/>
      <c r="G32" s="294"/>
      <c r="H32" s="221"/>
      <c r="I32" s="221"/>
      <c r="J32" s="221"/>
      <c r="K32" s="221"/>
      <c r="L32" s="221"/>
      <c r="M32" s="221"/>
      <c r="N32" s="221"/>
      <c r="O32" s="221"/>
      <c r="P32" s="221"/>
      <c r="Q32" s="221"/>
      <c r="R32" s="133"/>
      <c r="S32" s="133"/>
      <c r="T32" s="133"/>
      <c r="U32" s="133"/>
      <c r="V32" s="133"/>
      <c r="W32" s="133"/>
      <c r="X32" s="133"/>
      <c r="Y32" s="133"/>
      <c r="Z32" s="133"/>
      <c r="AJ32" s="292"/>
      <c r="AK32" s="292"/>
      <c r="AL32" s="292"/>
      <c r="AM32" s="292"/>
      <c r="AN32" s="292"/>
    </row>
    <row r="33" spans="1:40" x14ac:dyDescent="0.25">
      <c r="A33" s="294"/>
      <c r="B33" s="707" t="s">
        <v>1168</v>
      </c>
      <c r="C33" s="744"/>
      <c r="D33" s="744"/>
      <c r="E33" s="708"/>
      <c r="F33" s="709"/>
      <c r="G33" s="313"/>
      <c r="H33" s="313"/>
      <c r="I33" s="396"/>
      <c r="J33" s="745"/>
      <c r="K33" s="294"/>
      <c r="L33" s="294"/>
      <c r="M33" s="294"/>
      <c r="N33" s="294"/>
      <c r="O33" s="294"/>
      <c r="P33" s="294"/>
      <c r="Q33" s="221"/>
      <c r="R33" s="133"/>
      <c r="S33" s="133"/>
      <c r="V33" s="133"/>
    </row>
    <row r="34" spans="1:40" x14ac:dyDescent="0.25">
      <c r="A34" s="737"/>
      <c r="B34" s="738" t="s">
        <v>1309</v>
      </c>
      <c r="C34" s="406"/>
      <c r="D34" s="406"/>
      <c r="E34" s="406"/>
      <c r="F34" s="406"/>
      <c r="G34" s="406"/>
      <c r="H34" s="406"/>
      <c r="I34" s="220"/>
      <c r="J34" s="221"/>
      <c r="K34" s="221"/>
      <c r="L34" s="221"/>
      <c r="M34" s="221"/>
      <c r="N34" s="221"/>
      <c r="O34" s="221"/>
      <c r="P34" s="221"/>
      <c r="Q34" s="221"/>
      <c r="R34" s="133"/>
      <c r="S34" s="133"/>
      <c r="T34" s="133"/>
      <c r="U34" s="133"/>
      <c r="V34" s="133"/>
      <c r="W34" s="133"/>
      <c r="X34" s="133"/>
      <c r="Y34" s="133"/>
      <c r="Z34" s="133"/>
      <c r="AJ34" s="292"/>
      <c r="AK34" s="292"/>
      <c r="AL34" s="292"/>
      <c r="AM34" s="292"/>
      <c r="AN34" s="292"/>
    </row>
    <row r="35" spans="1:40" ht="45" x14ac:dyDescent="0.25">
      <c r="A35" s="737"/>
      <c r="B35" s="326" t="s">
        <v>131</v>
      </c>
      <c r="C35" s="166" t="s">
        <v>752</v>
      </c>
      <c r="D35" s="434" t="s">
        <v>743</v>
      </c>
      <c r="E35" s="261" t="s">
        <v>51</v>
      </c>
      <c r="F35" s="261" t="s">
        <v>52</v>
      </c>
      <c r="G35" s="165" t="s">
        <v>744</v>
      </c>
      <c r="H35" s="165" t="s">
        <v>745</v>
      </c>
      <c r="I35" s="261" t="s">
        <v>746</v>
      </c>
      <c r="J35" s="742"/>
      <c r="K35" s="746" t="s">
        <v>1252</v>
      </c>
      <c r="L35" s="434" t="s">
        <v>743</v>
      </c>
      <c r="M35" s="261" t="s">
        <v>51</v>
      </c>
      <c r="N35" s="261" t="s">
        <v>52</v>
      </c>
      <c r="O35" s="165" t="s">
        <v>744</v>
      </c>
      <c r="P35" s="165" t="s">
        <v>745</v>
      </c>
      <c r="Q35" s="261" t="s">
        <v>746</v>
      </c>
      <c r="R35" s="133"/>
      <c r="S35" s="133"/>
      <c r="T35" s="133"/>
      <c r="U35" s="133"/>
      <c r="V35" s="133"/>
      <c r="W35" s="133"/>
      <c r="X35" s="133"/>
      <c r="Y35" s="133"/>
      <c r="Z35" s="133"/>
      <c r="AJ35" s="292"/>
      <c r="AK35" s="292"/>
      <c r="AL35" s="292"/>
      <c r="AM35" s="292"/>
      <c r="AN35" s="292"/>
    </row>
    <row r="36" spans="1:40" x14ac:dyDescent="0.25">
      <c r="A36" s="737"/>
      <c r="B36" s="358" t="s">
        <v>1247</v>
      </c>
      <c r="C36" s="704">
        <f>'Inputs and eligible population'!K99</f>
        <v>20</v>
      </c>
      <c r="D36" s="128">
        <f>'Capacity (national prices)  3rd'!D34*'Capacity (local prices) 3rd'!$C36/60</f>
        <v>0</v>
      </c>
      <c r="E36" s="128">
        <f>'Capacity (national prices)  3rd'!E34*'Capacity (local prices) 3rd'!$C36/60</f>
        <v>101.39393870318743</v>
      </c>
      <c r="F36" s="128">
        <f>'Capacity (national prices)  3rd'!F34*'Capacity (local prices) 3rd'!$C36/60</f>
        <v>211.14134154748174</v>
      </c>
      <c r="G36" s="128">
        <f>'Capacity (national prices)  3rd'!G34*'Capacity (local prices) 3rd'!$C36/60</f>
        <v>213.17712571035827</v>
      </c>
      <c r="H36" s="128">
        <f>'Capacity (national prices)  3rd'!H34*'Capacity (local prices) 3rd'!$C36/60</f>
        <v>215.23253851217126</v>
      </c>
      <c r="I36" s="128">
        <f>'Capacity (national prices)  3rd'!I34*'Capacity (local prices) 3rd'!$C36/60</f>
        <v>217.30776920847831</v>
      </c>
      <c r="J36" s="742"/>
      <c r="K36" s="747">
        <f>'Inputs and eligible population'!$Q$99</f>
        <v>103.07</v>
      </c>
      <c r="L36" s="299">
        <f>D36*$K36/1000</f>
        <v>0</v>
      </c>
      <c r="M36" s="299">
        <f t="shared" ref="M36:Q39" si="30">E36*$K36/1000</f>
        <v>10.450673262137528</v>
      </c>
      <c r="N36" s="299">
        <f t="shared" si="30"/>
        <v>21.762338073298942</v>
      </c>
      <c r="O36" s="299">
        <f t="shared" si="30"/>
        <v>21.972166346966624</v>
      </c>
      <c r="P36" s="299">
        <f t="shared" si="30"/>
        <v>22.184017744449491</v>
      </c>
      <c r="Q36" s="299">
        <f t="shared" si="30"/>
        <v>22.397911772317858</v>
      </c>
      <c r="R36" s="133"/>
      <c r="S36" s="133"/>
      <c r="T36" s="133"/>
      <c r="U36" s="133"/>
      <c r="V36" s="133"/>
      <c r="W36" s="133"/>
      <c r="X36" s="133"/>
      <c r="Y36" s="133"/>
      <c r="Z36" s="133"/>
      <c r="AJ36" s="292"/>
      <c r="AK36" s="292"/>
      <c r="AL36" s="292"/>
      <c r="AM36" s="292"/>
      <c r="AN36" s="292"/>
    </row>
    <row r="37" spans="1:40" x14ac:dyDescent="0.25">
      <c r="A37" s="737"/>
      <c r="B37" s="358" t="s">
        <v>1125</v>
      </c>
      <c r="C37" s="704">
        <f>'Inputs and eligible population'!L99</f>
        <v>20</v>
      </c>
      <c r="D37" s="128">
        <f>'Capacity (national prices)  3rd'!D35*'Capacity (local prices) 3rd'!$C37/60</f>
        <v>404.84091721986999</v>
      </c>
      <c r="E37" s="128">
        <f>'Capacity (national prices)  3rd'!E35*'Capacity (local prices) 3rd'!$C37/60</f>
        <v>304.18181610956231</v>
      </c>
      <c r="F37" s="128">
        <f>'Capacity (national prices)  3rd'!F35*'Capacity (local prices) 3rd'!$C37/60</f>
        <v>198.34489660521012</v>
      </c>
      <c r="G37" s="128">
        <f>'Capacity (national prices)  3rd'!G35*'Capacity (local prices) 3rd'!$C37/60</f>
        <v>200.25729990973048</v>
      </c>
      <c r="H37" s="128">
        <f>'Capacity (national prices)  3rd'!H35*'Capacity (local prices) 3rd'!$C37/60</f>
        <v>202.18814223870632</v>
      </c>
      <c r="I37" s="128">
        <f>'Capacity (national prices)  3rd'!I35*'Capacity (local prices) 3rd'!$C37/60</f>
        <v>204.13760137766138</v>
      </c>
      <c r="J37" s="742"/>
      <c r="K37" s="747">
        <f>'Inputs and eligible population'!$Q$99</f>
        <v>103.07</v>
      </c>
      <c r="L37" s="299">
        <f t="shared" ref="L37:L39" si="31">D37*$K37/1000</f>
        <v>41.726953337852002</v>
      </c>
      <c r="M37" s="299">
        <f t="shared" si="30"/>
        <v>31.352019786412583</v>
      </c>
      <c r="N37" s="299">
        <f t="shared" si="30"/>
        <v>20.443408493099007</v>
      </c>
      <c r="O37" s="299">
        <f t="shared" si="30"/>
        <v>20.640519901695921</v>
      </c>
      <c r="P37" s="299">
        <f t="shared" si="30"/>
        <v>20.83953182054346</v>
      </c>
      <c r="Q37" s="299">
        <f t="shared" si="30"/>
        <v>21.040462573995558</v>
      </c>
      <c r="R37" s="133"/>
      <c r="S37" s="133"/>
      <c r="T37" s="133"/>
      <c r="U37" s="133"/>
      <c r="V37" s="133"/>
      <c r="W37" s="133"/>
      <c r="X37" s="133"/>
      <c r="Y37" s="133"/>
      <c r="Z37" s="133"/>
      <c r="AJ37" s="292"/>
      <c r="AK37" s="292"/>
      <c r="AL37" s="292"/>
      <c r="AM37" s="292"/>
      <c r="AN37" s="292"/>
    </row>
    <row r="38" spans="1:40" x14ac:dyDescent="0.25">
      <c r="A38" s="737"/>
      <c r="B38" s="358" t="s">
        <v>1248</v>
      </c>
      <c r="C38" s="704">
        <f>'Inputs and eligible population'!M99</f>
        <v>20</v>
      </c>
      <c r="D38" s="128">
        <f>'Capacity (national prices)  3rd'!D36*'Capacity (local prices) 3rd'!$C38/60</f>
        <v>40.797921890374496</v>
      </c>
      <c r="E38" s="128">
        <f>'Capacity (national prices)  3rd'!E36*'Capacity (local prices) 3rd'!$C38/60</f>
        <v>44.359848182644512</v>
      </c>
      <c r="F38" s="128">
        <f>'Capacity (national prices)  3rd'!F36*'Capacity (local prices) 3rd'!$C38/60</f>
        <v>44.787557297950684</v>
      </c>
      <c r="G38" s="128">
        <f>'Capacity (national prices)  3rd'!G36*'Capacity (local prices) 3rd'!$C38/60</f>
        <v>45.219390302197212</v>
      </c>
      <c r="H38" s="128">
        <f>'Capacity (national prices)  3rd'!H36*'Capacity (local prices) 3rd'!$C38/60</f>
        <v>45.655386957127241</v>
      </c>
      <c r="I38" s="128">
        <f>'Capacity (national prices)  3rd'!I36*'Capacity (local prices) 3rd'!$C38/60</f>
        <v>46.095587407859028</v>
      </c>
      <c r="J38" s="742"/>
      <c r="K38" s="747">
        <f>'Inputs and eligible population'!$Q$99</f>
        <v>103.07</v>
      </c>
      <c r="L38" s="299">
        <f t="shared" si="31"/>
        <v>4.2050418092408988</v>
      </c>
      <c r="M38" s="299">
        <f t="shared" si="30"/>
        <v>4.5721695521851702</v>
      </c>
      <c r="N38" s="299">
        <f t="shared" si="30"/>
        <v>4.616253530699777</v>
      </c>
      <c r="O38" s="299">
        <f t="shared" si="30"/>
        <v>4.6607625584474661</v>
      </c>
      <c r="P38" s="299">
        <f t="shared" si="30"/>
        <v>4.7057007336711045</v>
      </c>
      <c r="Q38" s="299">
        <f t="shared" si="30"/>
        <v>4.7510721941280298</v>
      </c>
      <c r="R38" s="133"/>
      <c r="S38" s="133"/>
      <c r="T38" s="133"/>
      <c r="U38" s="133"/>
      <c r="V38" s="133"/>
      <c r="W38" s="133"/>
      <c r="X38" s="133"/>
      <c r="Y38" s="133"/>
      <c r="Z38" s="133"/>
      <c r="AJ38" s="292"/>
      <c r="AK38" s="292"/>
      <c r="AL38" s="292"/>
      <c r="AM38" s="292"/>
      <c r="AN38" s="292"/>
    </row>
    <row r="39" spans="1:40" x14ac:dyDescent="0.25">
      <c r="A39" s="737"/>
      <c r="B39" s="358" t="s">
        <v>1251</v>
      </c>
      <c r="C39" s="704">
        <f>'Inputs and eligible population'!N99</f>
        <v>20</v>
      </c>
      <c r="D39" s="128">
        <f>'Capacity (national prices)  3rd'!D37*'Capacity (local prices) 3rd'!$C39/60</f>
        <v>182.02149766474773</v>
      </c>
      <c r="E39" s="128">
        <f>'Capacity (national prices)  3rd'!E37*'Capacity (local prices) 3rd'!$C39/60</f>
        <v>183.77651389952723</v>
      </c>
      <c r="F39" s="128">
        <f>'Capacity (national prices)  3rd'!F37*'Capacity (local prices) 3rd'!$C39/60</f>
        <v>185.5484516629385</v>
      </c>
      <c r="G39" s="128">
        <f>'Capacity (national prices)  3rd'!G37*'Capacity (local prices) 3rd'!$C39/60</f>
        <v>187.33747410910266</v>
      </c>
      <c r="H39" s="128">
        <f>'Capacity (national prices)  3rd'!H37*'Capacity (local prices) 3rd'!$C39/60</f>
        <v>189.14374596524141</v>
      </c>
      <c r="I39" s="128">
        <f>'Capacity (national prices)  3rd'!I37*'Capacity (local prices) 3rd'!$C39/60</f>
        <v>190.96743354684452</v>
      </c>
      <c r="J39" s="742"/>
      <c r="K39" s="747">
        <f>'Inputs and eligible population'!$Q$99</f>
        <v>103.07</v>
      </c>
      <c r="L39" s="299">
        <f t="shared" si="31"/>
        <v>18.76095576430555</v>
      </c>
      <c r="M39" s="299">
        <f t="shared" si="30"/>
        <v>18.941845287624268</v>
      </c>
      <c r="N39" s="299">
        <f t="shared" si="30"/>
        <v>19.124478912899072</v>
      </c>
      <c r="O39" s="299">
        <f t="shared" si="30"/>
        <v>19.308873456425207</v>
      </c>
      <c r="P39" s="299">
        <f t="shared" si="30"/>
        <v>19.495045896637432</v>
      </c>
      <c r="Q39" s="299">
        <f t="shared" si="30"/>
        <v>19.683013375673266</v>
      </c>
      <c r="R39" s="133"/>
      <c r="S39" s="133"/>
      <c r="T39" s="133"/>
      <c r="U39" s="133"/>
      <c r="V39" s="133"/>
      <c r="W39" s="133"/>
      <c r="X39" s="133"/>
      <c r="Y39" s="133"/>
      <c r="Z39" s="133"/>
      <c r="AJ39" s="292"/>
      <c r="AK39" s="292"/>
      <c r="AL39" s="292"/>
      <c r="AM39" s="292"/>
      <c r="AN39" s="292"/>
    </row>
    <row r="40" spans="1:40" x14ac:dyDescent="0.25">
      <c r="A40" s="737"/>
      <c r="B40" s="574"/>
      <c r="C40" s="289"/>
      <c r="D40" s="187">
        <f t="shared" ref="D40:I40" si="32">SUM(D36:D39)</f>
        <v>627.66033677499217</v>
      </c>
      <c r="E40" s="187">
        <f t="shared" si="32"/>
        <v>633.71211689492145</v>
      </c>
      <c r="F40" s="187">
        <f t="shared" si="32"/>
        <v>639.82224711358106</v>
      </c>
      <c r="G40" s="187">
        <f t="shared" si="32"/>
        <v>645.99129003138864</v>
      </c>
      <c r="H40" s="187">
        <f t="shared" si="32"/>
        <v>652.21981367324622</v>
      </c>
      <c r="I40" s="187">
        <f t="shared" si="32"/>
        <v>658.50839154084326</v>
      </c>
      <c r="J40" s="742"/>
      <c r="K40" s="221"/>
      <c r="L40" s="300">
        <f t="shared" ref="L40:Q40" si="33">SUM(L36:L39)</f>
        <v>64.692950911398441</v>
      </c>
      <c r="M40" s="300">
        <f t="shared" si="33"/>
        <v>65.316707888359559</v>
      </c>
      <c r="N40" s="300">
        <f t="shared" si="33"/>
        <v>65.946479009996807</v>
      </c>
      <c r="O40" s="300">
        <f t="shared" si="33"/>
        <v>66.582322263535218</v>
      </c>
      <c r="P40" s="300">
        <f t="shared" si="33"/>
        <v>67.224296195301491</v>
      </c>
      <c r="Q40" s="300">
        <f t="shared" si="33"/>
        <v>67.872459916114707</v>
      </c>
      <c r="R40" s="133"/>
      <c r="S40" s="133"/>
      <c r="T40" s="133"/>
      <c r="U40" s="133"/>
      <c r="V40" s="133"/>
      <c r="W40" s="133"/>
      <c r="X40" s="133"/>
      <c r="Y40" s="133"/>
      <c r="Z40" s="133"/>
      <c r="AJ40" s="292"/>
      <c r="AK40" s="292"/>
      <c r="AL40" s="292"/>
      <c r="AM40" s="292"/>
      <c r="AN40" s="292"/>
    </row>
    <row r="41" spans="1:40" x14ac:dyDescent="0.25">
      <c r="A41" s="737"/>
      <c r="B41" s="262"/>
      <c r="C41" s="262"/>
      <c r="D41" s="291" t="s">
        <v>1193</v>
      </c>
      <c r="E41" s="187">
        <f>E40-$D$40</f>
        <v>6.0517801199292762</v>
      </c>
      <c r="F41" s="187">
        <f>F40-$D$40</f>
        <v>12.161910338588882</v>
      </c>
      <c r="G41" s="187">
        <f>G40-$D$40</f>
        <v>18.330953256396469</v>
      </c>
      <c r="H41" s="187">
        <f>H40-$D$40</f>
        <v>24.559476898254047</v>
      </c>
      <c r="I41" s="187">
        <f>I40-$D$40</f>
        <v>30.848054765851089</v>
      </c>
      <c r="J41" s="742"/>
      <c r="K41" s="221"/>
      <c r="L41" s="221"/>
      <c r="M41" s="300">
        <f>M40-$L$40</f>
        <v>0.62375697696111843</v>
      </c>
      <c r="N41" s="300">
        <f t="shared" ref="N41:P41" si="34">N40-$L$40</f>
        <v>1.2535280985983661</v>
      </c>
      <c r="O41" s="300">
        <f t="shared" si="34"/>
        <v>1.8893713521367772</v>
      </c>
      <c r="P41" s="300">
        <f t="shared" si="34"/>
        <v>2.5313452839030504</v>
      </c>
      <c r="Q41" s="300">
        <f>Q40-$L$40</f>
        <v>3.179509004716266</v>
      </c>
      <c r="R41" s="133"/>
      <c r="S41" s="133"/>
      <c r="T41" s="133"/>
      <c r="U41" s="133"/>
      <c r="V41" s="133"/>
      <c r="W41" s="133"/>
      <c r="X41" s="133"/>
      <c r="Y41" s="133"/>
      <c r="Z41" s="133"/>
      <c r="AJ41" s="292"/>
      <c r="AK41" s="292"/>
      <c r="AL41" s="292"/>
      <c r="AM41" s="292"/>
      <c r="AN41" s="292"/>
    </row>
    <row r="42" spans="1:40" x14ac:dyDescent="0.25">
      <c r="A42" s="294"/>
      <c r="B42" s="739"/>
      <c r="C42" s="734"/>
      <c r="D42" s="735"/>
      <c r="E42" s="736"/>
      <c r="F42" s="294"/>
      <c r="G42" s="294"/>
      <c r="H42" s="294"/>
      <c r="I42" s="313"/>
      <c r="J42" s="221"/>
      <c r="K42" s="221"/>
      <c r="L42" s="221"/>
      <c r="M42" s="221"/>
      <c r="N42" s="221"/>
      <c r="O42" s="221"/>
      <c r="P42" s="221"/>
      <c r="Q42" s="221"/>
      <c r="R42" s="133"/>
      <c r="S42" s="133"/>
      <c r="T42" s="133"/>
      <c r="U42" s="133"/>
      <c r="V42" s="133"/>
      <c r="W42" s="133"/>
      <c r="X42" s="133"/>
      <c r="Y42" s="133"/>
      <c r="Z42" s="133"/>
      <c r="AJ42" s="292"/>
      <c r="AK42" s="292"/>
      <c r="AL42" s="292"/>
      <c r="AM42" s="292"/>
      <c r="AN42" s="292"/>
    </row>
    <row r="43" spans="1:40" x14ac:dyDescent="0.25">
      <c r="A43" s="294"/>
      <c r="B43" s="405" t="s">
        <v>1312</v>
      </c>
      <c r="C43" s="406"/>
      <c r="D43" s="406"/>
      <c r="E43" s="406"/>
      <c r="F43" s="406"/>
      <c r="G43" s="406"/>
      <c r="H43" s="406"/>
      <c r="I43" s="220"/>
      <c r="J43" s="221"/>
      <c r="K43" s="221"/>
      <c r="L43" s="221"/>
      <c r="M43" s="221"/>
      <c r="N43" s="221"/>
      <c r="O43" s="221"/>
      <c r="P43" s="221"/>
      <c r="Q43" s="221"/>
      <c r="R43" s="133"/>
      <c r="S43" s="133"/>
      <c r="T43" s="133"/>
      <c r="U43" s="133"/>
      <c r="V43" s="133"/>
      <c r="W43" s="133"/>
      <c r="X43" s="133"/>
      <c r="Y43" s="133"/>
      <c r="Z43" s="133"/>
      <c r="AJ43" s="292"/>
      <c r="AK43" s="292"/>
      <c r="AL43" s="292"/>
      <c r="AM43" s="292"/>
      <c r="AN43" s="292"/>
    </row>
    <row r="44" spans="1:40" ht="45" x14ac:dyDescent="0.25">
      <c r="A44" s="294"/>
      <c r="B44" s="285" t="s">
        <v>131</v>
      </c>
      <c r="C44" s="166" t="s">
        <v>752</v>
      </c>
      <c r="D44" s="434" t="s">
        <v>743</v>
      </c>
      <c r="E44" s="261" t="s">
        <v>51</v>
      </c>
      <c r="F44" s="261" t="s">
        <v>52</v>
      </c>
      <c r="G44" s="165" t="s">
        <v>744</v>
      </c>
      <c r="H44" s="165" t="s">
        <v>745</v>
      </c>
      <c r="I44" s="261" t="s">
        <v>746</v>
      </c>
      <c r="J44" s="221"/>
      <c r="K44" s="746" t="s">
        <v>1252</v>
      </c>
      <c r="L44" s="434" t="s">
        <v>743</v>
      </c>
      <c r="M44" s="261" t="s">
        <v>51</v>
      </c>
      <c r="N44" s="261" t="s">
        <v>52</v>
      </c>
      <c r="O44" s="165" t="s">
        <v>744</v>
      </c>
      <c r="P44" s="165" t="s">
        <v>745</v>
      </c>
      <c r="Q44" s="261" t="s">
        <v>746</v>
      </c>
      <c r="R44" s="133"/>
      <c r="S44" s="133"/>
      <c r="T44" s="133"/>
      <c r="U44" s="133"/>
      <c r="V44" s="133"/>
      <c r="W44" s="133"/>
      <c r="X44" s="133"/>
      <c r="Y44" s="133"/>
      <c r="Z44" s="133"/>
      <c r="AJ44" s="292"/>
      <c r="AK44" s="292"/>
      <c r="AL44" s="292"/>
      <c r="AM44" s="292"/>
      <c r="AN44" s="292"/>
    </row>
    <row r="45" spans="1:40" x14ac:dyDescent="0.25">
      <c r="A45" s="294"/>
      <c r="B45" s="358" t="s">
        <v>1247</v>
      </c>
      <c r="C45" s="704">
        <f>'Inputs and eligible population'!K101</f>
        <v>10</v>
      </c>
      <c r="D45" s="128">
        <f>'Capacity (national prices)  3rd'!D43*'Capacity (local prices) 3rd'!$C45/60</f>
        <v>0</v>
      </c>
      <c r="E45" s="128">
        <f>'Capacity (national prices)  3rd'!E43*'Capacity (local prices) 3rd'!$C45/60</f>
        <v>555.63878409346717</v>
      </c>
      <c r="F45" s="128">
        <f>'Capacity (national prices)  3rd'!F43*'Capacity (local prices) 3rd'!$C45/60</f>
        <v>1238.8019563536773</v>
      </c>
      <c r="G45" s="128">
        <f>'Capacity (national prices)  3rd'!G43*'Capacity (local prices) 3rd'!$C45/60</f>
        <v>1338.4403185509188</v>
      </c>
      <c r="H45" s="128">
        <f>'Capacity (national prices)  3rd'!H43*'Capacity (local prices) 3rd'!$C45/60</f>
        <v>1351.3453024043461</v>
      </c>
      <c r="I45" s="128">
        <f>'Capacity (national prices)  3rd'!I43*'Capacity (local prices) 3rd'!$C45/60</f>
        <v>1364.3747136274137</v>
      </c>
      <c r="J45" s="221"/>
      <c r="K45" s="747">
        <f>'Inputs and eligible population'!$Q$101</f>
        <v>103.07</v>
      </c>
      <c r="L45" s="299">
        <f>D45*$K45/1000</f>
        <v>0</v>
      </c>
      <c r="M45" s="299">
        <f t="shared" ref="M45:Q48" si="35">E45*$K45/1000</f>
        <v>57.269689476513662</v>
      </c>
      <c r="N45" s="299">
        <f t="shared" si="35"/>
        <v>127.68331764137351</v>
      </c>
      <c r="O45" s="299">
        <f t="shared" si="35"/>
        <v>137.95304363304319</v>
      </c>
      <c r="P45" s="299">
        <f t="shared" si="35"/>
        <v>139.28316031881593</v>
      </c>
      <c r="Q45" s="299">
        <f t="shared" si="35"/>
        <v>140.62610173357751</v>
      </c>
      <c r="R45" s="133"/>
      <c r="S45" s="133"/>
      <c r="T45" s="133"/>
      <c r="U45" s="133"/>
      <c r="V45" s="133"/>
      <c r="W45" s="133"/>
      <c r="X45" s="133"/>
      <c r="Y45" s="133"/>
      <c r="Z45" s="133"/>
      <c r="AJ45" s="292"/>
      <c r="AK45" s="292"/>
      <c r="AL45" s="292"/>
      <c r="AM45" s="292"/>
      <c r="AN45" s="292"/>
    </row>
    <row r="46" spans="1:40" x14ac:dyDescent="0.25">
      <c r="A46" s="294"/>
      <c r="B46" s="358" t="s">
        <v>1125</v>
      </c>
      <c r="C46" s="704">
        <f>'Inputs and eligible population'!L101</f>
        <v>10</v>
      </c>
      <c r="D46" s="128">
        <f>'Capacity (national prices)  3rd'!D44*'Capacity (local prices) 3rd'!$C46/60</f>
        <v>2218.5282263648883</v>
      </c>
      <c r="E46" s="128">
        <f>'Capacity (national prices)  3rd'!E44*'Capacity (local prices) 3rd'!$C46/60</f>
        <v>1666.9163522804015</v>
      </c>
      <c r="F46" s="128">
        <f>'Capacity (national prices)  3rd'!F44*'Capacity (local prices) 3rd'!$C46/60</f>
        <v>1086.9300333965516</v>
      </c>
      <c r="G46" s="128">
        <f>'Capacity (national prices)  3rd'!G44*'Capacity (local prices) 3rd'!$C46/60</f>
        <v>1097.4100035053232</v>
      </c>
      <c r="H46" s="128">
        <f>'Capacity (national prices)  3rd'!H44*'Capacity (local prices) 3rd'!$C46/60</f>
        <v>1107.9910194681108</v>
      </c>
      <c r="I46" s="128">
        <f>'Capacity (national prices)  3rd'!I44*'Capacity (local prices) 3rd'!$C46/60</f>
        <v>1118.6740555495846</v>
      </c>
      <c r="J46" s="221"/>
      <c r="K46" s="747">
        <f>'Inputs and eligible population'!$Q$101</f>
        <v>103.07</v>
      </c>
      <c r="L46" s="299">
        <f t="shared" ref="L46:L48" si="36">D46*$K46/1000</f>
        <v>228.66370429142901</v>
      </c>
      <c r="M46" s="299">
        <f t="shared" si="35"/>
        <v>171.80906842954096</v>
      </c>
      <c r="N46" s="299">
        <f t="shared" si="35"/>
        <v>112.02987854218256</v>
      </c>
      <c r="O46" s="299">
        <f t="shared" si="35"/>
        <v>113.11004906129365</v>
      </c>
      <c r="P46" s="299">
        <f t="shared" si="35"/>
        <v>114.20063437657818</v>
      </c>
      <c r="Q46" s="299">
        <f t="shared" si="35"/>
        <v>115.30173490549569</v>
      </c>
      <c r="R46" s="133"/>
      <c r="S46" s="133"/>
      <c r="T46" s="133"/>
      <c r="U46" s="133"/>
      <c r="V46" s="133"/>
      <c r="W46" s="133"/>
      <c r="X46" s="133"/>
      <c r="Y46" s="133"/>
      <c r="Z46" s="133"/>
      <c r="AJ46" s="292"/>
      <c r="AK46" s="292"/>
      <c r="AL46" s="292"/>
      <c r="AM46" s="292"/>
      <c r="AN46" s="292"/>
    </row>
    <row r="47" spans="1:40" x14ac:dyDescent="0.25">
      <c r="A47" s="294"/>
      <c r="B47" s="358" t="s">
        <v>1248</v>
      </c>
      <c r="C47" s="704">
        <f>'Inputs and eligible population'!M101</f>
        <v>10</v>
      </c>
      <c r="D47" s="128">
        <f>'Capacity (national prices)  3rd'!D45*'Capacity (local prices) 3rd'!$C47/60</f>
        <v>223.57261195925227</v>
      </c>
      <c r="E47" s="128">
        <f>'Capacity (national prices)  3rd'!E45*'Capacity (local prices) 3rd'!$C47/60</f>
        <v>243.09196804089194</v>
      </c>
      <c r="F47" s="128">
        <f>'Capacity (national prices)  3rd'!F45*'Capacity (local prices) 3rd'!$C47/60</f>
        <v>245.43581399276977</v>
      </c>
      <c r="G47" s="128">
        <f>'Capacity (national prices)  3rd'!G45*'Capacity (local prices) 3rd'!$C47/60</f>
        <v>247.80225885604074</v>
      </c>
      <c r="H47" s="128">
        <f>'Capacity (national prices)  3rd'!H45*'Capacity (local prices) 3rd'!$C47/60</f>
        <v>250.19152052505734</v>
      </c>
      <c r="I47" s="128">
        <f>'Capacity (national prices)  3rd'!I45*'Capacity (local prices) 3rd'!$C47/60</f>
        <v>252.60381899506748</v>
      </c>
      <c r="J47" s="221"/>
      <c r="K47" s="747">
        <f>'Inputs and eligible population'!$Q$101</f>
        <v>103.07</v>
      </c>
      <c r="L47" s="299">
        <f t="shared" si="36"/>
        <v>23.04362911464013</v>
      </c>
      <c r="M47" s="299">
        <f t="shared" si="35"/>
        <v>25.055489145974729</v>
      </c>
      <c r="N47" s="299">
        <f t="shared" si="35"/>
        <v>25.297069348234778</v>
      </c>
      <c r="O47" s="299">
        <f t="shared" si="35"/>
        <v>25.540978820292114</v>
      </c>
      <c r="P47" s="299">
        <f t="shared" si="35"/>
        <v>25.787240020517661</v>
      </c>
      <c r="Q47" s="299">
        <f t="shared" si="35"/>
        <v>26.035875623821603</v>
      </c>
      <c r="R47" s="133"/>
      <c r="S47" s="133"/>
      <c r="T47" s="133"/>
      <c r="U47" s="133"/>
      <c r="V47" s="133"/>
      <c r="W47" s="133"/>
      <c r="X47" s="133"/>
      <c r="Y47" s="133"/>
      <c r="Z47" s="133"/>
      <c r="AJ47" s="292"/>
      <c r="AK47" s="292"/>
      <c r="AL47" s="292"/>
      <c r="AM47" s="292"/>
      <c r="AN47" s="292"/>
    </row>
    <row r="48" spans="1:40" x14ac:dyDescent="0.25">
      <c r="A48" s="294"/>
      <c r="B48" s="358" t="s">
        <v>1251</v>
      </c>
      <c r="C48" s="704">
        <f>'Inputs and eligible population'!N101</f>
        <v>10</v>
      </c>
      <c r="D48" s="128">
        <f>'Capacity (national prices)  3rd'!D46*'Capacity (local prices) 3rd'!$C48/60</f>
        <v>1147.9215753770886</v>
      </c>
      <c r="E48" s="128">
        <f>'Capacity (national prices)  3rd'!E46*'Capacity (local prices) 3rd'!$C48/60</f>
        <v>1157.5390643436804</v>
      </c>
      <c r="F48" s="128">
        <f>'Capacity (national prices)  3rd'!F46*'Capacity (local prices) 3rd'!$C48/60</f>
        <v>1168.6998331340585</v>
      </c>
      <c r="G48" s="128">
        <f>'Capacity (national prices)  3rd'!G46*'Capacity (local prices) 3rd'!$C48/60</f>
        <v>1179.9682119082631</v>
      </c>
      <c r="H48" s="128">
        <f>'Capacity (national prices)  3rd'!H46*'Capacity (local prices) 3rd'!$C48/60</f>
        <v>1191.3452382210387</v>
      </c>
      <c r="I48" s="128">
        <f>'Capacity (national prices)  3rd'!I46*'Capacity (local prices) 3rd'!$C48/60</f>
        <v>1202.8319596310346</v>
      </c>
      <c r="J48" s="221"/>
      <c r="K48" s="747">
        <f>'Inputs and eligible population'!$Q$101</f>
        <v>103.07</v>
      </c>
      <c r="L48" s="299">
        <f t="shared" si="36"/>
        <v>118.31627677411652</v>
      </c>
      <c r="M48" s="299">
        <f t="shared" si="35"/>
        <v>119.30755136190312</v>
      </c>
      <c r="N48" s="299">
        <f t="shared" si="35"/>
        <v>120.4578918011274</v>
      </c>
      <c r="O48" s="299">
        <f t="shared" si="35"/>
        <v>121.61932360138468</v>
      </c>
      <c r="P48" s="299">
        <f t="shared" si="35"/>
        <v>122.79195370344246</v>
      </c>
      <c r="Q48" s="299">
        <f t="shared" si="35"/>
        <v>123.97589007917072</v>
      </c>
      <c r="R48" s="133"/>
      <c r="S48" s="133"/>
      <c r="T48" s="133"/>
      <c r="U48" s="133"/>
      <c r="V48" s="133"/>
      <c r="W48" s="133"/>
      <c r="X48" s="133"/>
      <c r="Y48" s="133"/>
      <c r="Z48" s="133"/>
      <c r="AJ48" s="292"/>
      <c r="AK48" s="292"/>
      <c r="AL48" s="292"/>
      <c r="AM48" s="292"/>
      <c r="AN48" s="292"/>
    </row>
    <row r="49" spans="1:40" x14ac:dyDescent="0.25">
      <c r="A49" s="294"/>
      <c r="B49" s="286"/>
      <c r="C49" s="289"/>
      <c r="D49" s="187">
        <f t="shared" ref="D49:I49" si="37">SUM(D45:D48)</f>
        <v>3590.0224137012292</v>
      </c>
      <c r="E49" s="187">
        <f t="shared" si="37"/>
        <v>3623.186168758441</v>
      </c>
      <c r="F49" s="187">
        <f t="shared" si="37"/>
        <v>3739.8676368770575</v>
      </c>
      <c r="G49" s="187">
        <f t="shared" si="37"/>
        <v>3863.6207928205458</v>
      </c>
      <c r="H49" s="187">
        <f t="shared" si="37"/>
        <v>3900.8730806185531</v>
      </c>
      <c r="I49" s="187">
        <f t="shared" si="37"/>
        <v>3938.4845478031002</v>
      </c>
      <c r="J49" s="221"/>
      <c r="K49" s="221"/>
      <c r="L49" s="300">
        <f t="shared" ref="L49:Q49" si="38">SUM(L45:L48)</f>
        <v>370.02361018018564</v>
      </c>
      <c r="M49" s="300">
        <f>SUM(M45:M48)</f>
        <v>373.44179841393247</v>
      </c>
      <c r="N49" s="300">
        <f t="shared" si="38"/>
        <v>385.46815733291828</v>
      </c>
      <c r="O49" s="300">
        <f t="shared" si="38"/>
        <v>398.22339511601365</v>
      </c>
      <c r="P49" s="300">
        <f t="shared" si="38"/>
        <v>402.06298841935427</v>
      </c>
      <c r="Q49" s="300">
        <f t="shared" si="38"/>
        <v>405.93960234206554</v>
      </c>
      <c r="R49" s="133"/>
      <c r="S49" s="133"/>
      <c r="T49" s="133"/>
      <c r="U49" s="133"/>
      <c r="V49" s="133"/>
      <c r="W49" s="133"/>
      <c r="X49" s="133"/>
      <c r="Y49" s="133"/>
      <c r="Z49" s="133"/>
      <c r="AJ49" s="292"/>
      <c r="AK49" s="292"/>
      <c r="AL49" s="292"/>
      <c r="AM49" s="292"/>
      <c r="AN49" s="292"/>
    </row>
    <row r="50" spans="1:40" x14ac:dyDescent="0.25">
      <c r="A50" s="294"/>
      <c r="B50" s="312"/>
      <c r="C50" s="262"/>
      <c r="D50" s="291" t="s">
        <v>1193</v>
      </c>
      <c r="E50" s="187">
        <f>E49-$D$49</f>
        <v>33.163755057211802</v>
      </c>
      <c r="F50" s="187">
        <f>F49-$D$49</f>
        <v>149.84522317582832</v>
      </c>
      <c r="G50" s="187">
        <f>G49-$D$49</f>
        <v>273.59837911931663</v>
      </c>
      <c r="H50" s="187">
        <f>H49-$D$49</f>
        <v>310.85066691732391</v>
      </c>
      <c r="I50" s="187">
        <f>I49-$D$49</f>
        <v>348.46213410187102</v>
      </c>
      <c r="J50" s="221"/>
      <c r="K50" s="221"/>
      <c r="L50" s="221"/>
      <c r="M50" s="300">
        <f>M49-$L$49</f>
        <v>3.4181882337468323</v>
      </c>
      <c r="N50" s="300">
        <f t="shared" ref="N50:P50" si="39">N49-$L$49</f>
        <v>15.444547152732639</v>
      </c>
      <c r="O50" s="300">
        <f t="shared" si="39"/>
        <v>28.199784935828006</v>
      </c>
      <c r="P50" s="300">
        <f t="shared" si="39"/>
        <v>32.039378239168627</v>
      </c>
      <c r="Q50" s="300">
        <f>Q49-$L$49</f>
        <v>35.915992161879899</v>
      </c>
      <c r="R50" s="133"/>
      <c r="S50" s="133"/>
      <c r="T50" s="133"/>
      <c r="U50" s="133"/>
      <c r="V50" s="133"/>
      <c r="W50" s="133"/>
      <c r="X50" s="133"/>
      <c r="Y50" s="133"/>
      <c r="Z50" s="133"/>
      <c r="AJ50" s="292"/>
      <c r="AK50" s="292"/>
      <c r="AL50" s="292"/>
      <c r="AM50" s="292"/>
      <c r="AN50" s="292"/>
    </row>
    <row r="51" spans="1:40" x14ac:dyDescent="0.25">
      <c r="A51" s="294"/>
      <c r="B51" s="294"/>
      <c r="C51" s="294"/>
      <c r="D51" s="740"/>
      <c r="E51" s="741"/>
      <c r="F51" s="741"/>
      <c r="G51" s="741"/>
      <c r="H51" s="741"/>
      <c r="I51" s="741"/>
      <c r="J51" s="221"/>
      <c r="K51" s="221"/>
      <c r="L51" s="221"/>
      <c r="M51" s="221"/>
      <c r="N51" s="221"/>
      <c r="O51" s="221"/>
      <c r="P51" s="221"/>
      <c r="Q51" s="221"/>
      <c r="R51" s="133"/>
      <c r="S51" s="133"/>
      <c r="T51" s="133"/>
      <c r="U51" s="133"/>
      <c r="V51" s="133"/>
      <c r="W51" s="133"/>
      <c r="X51" s="133"/>
      <c r="Y51" s="133"/>
      <c r="Z51" s="133"/>
      <c r="AJ51" s="292"/>
      <c r="AK51" s="292"/>
      <c r="AL51" s="292"/>
      <c r="AM51" s="292"/>
      <c r="AN51" s="292"/>
    </row>
    <row r="52" spans="1:40" x14ac:dyDescent="0.25">
      <c r="A52" s="307"/>
      <c r="B52" s="398" t="s">
        <v>130</v>
      </c>
      <c r="C52" s="399"/>
      <c r="D52" s="399"/>
      <c r="E52" s="399"/>
      <c r="F52" s="399"/>
      <c r="G52" s="399"/>
      <c r="H52" s="399"/>
      <c r="I52" s="399"/>
      <c r="J52" s="440"/>
      <c r="K52" s="217"/>
      <c r="L52" s="217"/>
      <c r="M52" s="217"/>
      <c r="N52" s="217"/>
      <c r="O52" s="217"/>
      <c r="P52" s="217"/>
      <c r="Q52" s="217"/>
      <c r="R52" s="133"/>
      <c r="S52" s="133"/>
      <c r="T52" s="133"/>
      <c r="U52" s="133"/>
      <c r="V52" s="133"/>
      <c r="W52" s="133"/>
      <c r="X52" s="133"/>
      <c r="Y52" s="133"/>
      <c r="Z52" s="133"/>
      <c r="AJ52" s="292"/>
      <c r="AK52" s="292"/>
      <c r="AL52" s="292"/>
      <c r="AM52" s="292"/>
      <c r="AN52" s="292"/>
    </row>
    <row r="53" spans="1:40" ht="45" x14ac:dyDescent="0.25">
      <c r="A53" s="307"/>
      <c r="B53" s="326" t="s">
        <v>131</v>
      </c>
      <c r="C53" s="166" t="s">
        <v>134</v>
      </c>
      <c r="D53" s="434" t="s">
        <v>743</v>
      </c>
      <c r="E53" s="261" t="s">
        <v>51</v>
      </c>
      <c r="F53" s="261" t="s">
        <v>52</v>
      </c>
      <c r="G53" s="165" t="s">
        <v>744</v>
      </c>
      <c r="H53" s="165" t="s">
        <v>745</v>
      </c>
      <c r="I53" s="261" t="s">
        <v>746</v>
      </c>
      <c r="J53" s="440"/>
      <c r="K53" s="217"/>
      <c r="L53" s="217"/>
      <c r="M53" s="217"/>
      <c r="N53" s="217"/>
      <c r="O53" s="217"/>
      <c r="P53" s="217"/>
      <c r="Q53" s="217"/>
      <c r="R53" s="133"/>
      <c r="S53" s="133"/>
      <c r="T53" s="133"/>
      <c r="U53" s="133"/>
      <c r="V53" s="133"/>
      <c r="W53" s="133"/>
      <c r="X53" s="133"/>
      <c r="Y53" s="133"/>
      <c r="Z53" s="133"/>
      <c r="AJ53" s="292"/>
      <c r="AK53" s="292"/>
      <c r="AL53" s="292"/>
      <c r="AM53" s="292"/>
      <c r="AN53" s="292"/>
    </row>
    <row r="54" spans="1:40" x14ac:dyDescent="0.25">
      <c r="A54" s="307"/>
      <c r="B54" s="705" t="s">
        <v>1084</v>
      </c>
      <c r="C54" s="299">
        <f>'Unit costs'!O101</f>
        <v>138</v>
      </c>
      <c r="D54" s="128">
        <f>D69+D70+D71</f>
        <v>9765.0050209017336</v>
      </c>
      <c r="E54" s="128">
        <f t="shared" ref="E54:I54" si="40">E69+E70+E71</f>
        <v>9972.7474144165517</v>
      </c>
      <c r="F54" s="128">
        <f t="shared" si="40"/>
        <v>10068.902724872749</v>
      </c>
      <c r="G54" s="128">
        <f t="shared" si="40"/>
        <v>10165.985146319001</v>
      </c>
      <c r="H54" s="128">
        <f t="shared" si="40"/>
        <v>10264.003617780971</v>
      </c>
      <c r="I54" s="128">
        <f t="shared" si="40"/>
        <v>10362.967164472682</v>
      </c>
      <c r="J54" s="440"/>
      <c r="K54" s="217"/>
      <c r="L54" s="217"/>
      <c r="M54" s="217"/>
      <c r="N54" s="217"/>
      <c r="O54" s="217"/>
      <c r="P54" s="217"/>
      <c r="Q54" s="217"/>
      <c r="R54" s="133"/>
      <c r="S54" s="133"/>
      <c r="T54" s="133"/>
      <c r="U54" s="133"/>
      <c r="V54" s="133"/>
      <c r="W54" s="133"/>
      <c r="X54" s="133"/>
      <c r="Y54" s="133"/>
      <c r="Z54" s="133"/>
      <c r="AJ54" s="292"/>
      <c r="AK54" s="292"/>
      <c r="AL54" s="292"/>
      <c r="AM54" s="292"/>
      <c r="AN54" s="292"/>
    </row>
    <row r="55" spans="1:40" x14ac:dyDescent="0.25">
      <c r="A55" s="307"/>
      <c r="B55" s="705" t="s">
        <v>1078</v>
      </c>
      <c r="C55" s="299">
        <f>'Unit costs'!O98</f>
        <v>345</v>
      </c>
      <c r="D55" s="128">
        <f t="shared" ref="D55:I55" si="41">D62+D64+D66</f>
        <v>10323.443389106686</v>
      </c>
      <c r="E55" s="128">
        <f t="shared" si="41"/>
        <v>10928.818107364988</v>
      </c>
      <c r="F55" s="128">
        <f t="shared" si="41"/>
        <v>11908.586183683779</v>
      </c>
      <c r="G55" s="128">
        <f t="shared" si="41"/>
        <v>12286.31858049125</v>
      </c>
      <c r="H55" s="128">
        <f t="shared" si="41"/>
        <v>12404.780898684836</v>
      </c>
      <c r="I55" s="128">
        <f t="shared" si="41"/>
        <v>12524.385407742178</v>
      </c>
      <c r="J55" s="440"/>
      <c r="K55" s="217"/>
      <c r="L55" s="217"/>
      <c r="M55" s="217"/>
      <c r="N55" s="217"/>
      <c r="O55" s="217"/>
      <c r="P55" s="217"/>
      <c r="Q55" s="217"/>
      <c r="R55" s="133"/>
      <c r="S55" s="133"/>
      <c r="T55" s="133"/>
      <c r="U55" s="133"/>
      <c r="V55" s="133"/>
      <c r="W55" s="133"/>
      <c r="X55" s="133"/>
      <c r="Y55" s="133"/>
      <c r="Z55" s="133"/>
      <c r="AJ55" s="292"/>
      <c r="AK55" s="292"/>
      <c r="AL55" s="292"/>
      <c r="AM55" s="292"/>
      <c r="AN55" s="292"/>
    </row>
    <row r="56" spans="1:40" x14ac:dyDescent="0.25">
      <c r="A56" s="307"/>
      <c r="B56" s="705" t="s">
        <v>1081</v>
      </c>
      <c r="C56" s="299">
        <f>'Unit costs'!O99</f>
        <v>345</v>
      </c>
      <c r="D56" s="128">
        <f>D63+D65+D67+D68</f>
        <v>30970.330167320059</v>
      </c>
      <c r="E56" s="128">
        <f t="shared" ref="E56:I56" si="42">E63+E65+E67+E68</f>
        <v>32786.454322094964</v>
      </c>
      <c r="F56" s="128">
        <f t="shared" si="42"/>
        <v>35725.758551051331</v>
      </c>
      <c r="G56" s="128">
        <f t="shared" si="42"/>
        <v>36858.95574147375</v>
      </c>
      <c r="H56" s="128">
        <f t="shared" si="42"/>
        <v>37214.342696054504</v>
      </c>
      <c r="I56" s="128">
        <f t="shared" si="42"/>
        <v>37573.156223226528</v>
      </c>
      <c r="J56" s="440"/>
      <c r="K56" s="217"/>
      <c r="L56" s="217"/>
      <c r="M56" s="217"/>
      <c r="N56" s="217"/>
      <c r="O56" s="217"/>
      <c r="P56" s="217"/>
      <c r="Q56" s="217"/>
      <c r="R56" s="133"/>
      <c r="S56" s="133"/>
      <c r="T56" s="133"/>
      <c r="U56" s="133"/>
      <c r="V56" s="133"/>
      <c r="W56" s="133"/>
      <c r="X56" s="133"/>
      <c r="Y56" s="133"/>
      <c r="Z56" s="133"/>
      <c r="AJ56" s="292"/>
      <c r="AK56" s="292"/>
      <c r="AL56" s="292"/>
      <c r="AM56" s="292"/>
      <c r="AN56" s="292"/>
    </row>
    <row r="57" spans="1:40" x14ac:dyDescent="0.25">
      <c r="A57" s="307"/>
      <c r="B57" s="329"/>
      <c r="C57" s="329"/>
      <c r="D57" s="187">
        <f>SUM(D54:D56)</f>
        <v>51058.778577328478</v>
      </c>
      <c r="E57" s="187">
        <f t="shared" ref="E57:H57" si="43">SUM(E54:E56)</f>
        <v>53688.019843876507</v>
      </c>
      <c r="F57" s="187">
        <f t="shared" si="43"/>
        <v>57703.247459607861</v>
      </c>
      <c r="G57" s="187">
        <f t="shared" si="43"/>
        <v>59311.259468283999</v>
      </c>
      <c r="H57" s="187">
        <f t="shared" si="43"/>
        <v>59883.12721252031</v>
      </c>
      <c r="I57" s="187">
        <f>SUM(I54:I56)</f>
        <v>60460.50879544139</v>
      </c>
      <c r="J57" s="440"/>
      <c r="K57" s="217"/>
      <c r="L57" s="217"/>
      <c r="M57" s="217"/>
      <c r="N57" s="217"/>
      <c r="O57" s="217"/>
      <c r="P57" s="217"/>
      <c r="Q57" s="217"/>
      <c r="R57" s="133"/>
      <c r="S57" s="133"/>
      <c r="T57" s="133"/>
      <c r="U57" s="133"/>
      <c r="V57" s="133"/>
      <c r="W57" s="133"/>
      <c r="X57" s="133"/>
      <c r="Y57" s="133"/>
      <c r="Z57" s="133"/>
      <c r="AJ57" s="292"/>
      <c r="AK57" s="292"/>
      <c r="AL57" s="292"/>
      <c r="AM57" s="292"/>
      <c r="AN57" s="292"/>
    </row>
    <row r="58" spans="1:40" x14ac:dyDescent="0.25">
      <c r="A58" s="307"/>
      <c r="B58" s="262"/>
      <c r="C58" s="262"/>
      <c r="D58" s="291" t="s">
        <v>753</v>
      </c>
      <c r="E58" s="187">
        <f>E57-D57</f>
        <v>2629.2412665480297</v>
      </c>
      <c r="F58" s="187">
        <f>F57-$D$57</f>
        <v>6644.4688822793833</v>
      </c>
      <c r="G58" s="187">
        <f>G57-$D$57</f>
        <v>8252.4808909555213</v>
      </c>
      <c r="H58" s="187">
        <f>H57-$D$57</f>
        <v>8824.3486351918327</v>
      </c>
      <c r="I58" s="187">
        <f>I57-$D$57</f>
        <v>9401.7302181129126</v>
      </c>
      <c r="J58" s="440"/>
      <c r="K58" s="217"/>
      <c r="L58" s="217"/>
      <c r="M58" s="217"/>
      <c r="N58" s="217"/>
      <c r="O58" s="217"/>
      <c r="P58" s="217"/>
      <c r="Q58" s="217"/>
      <c r="R58" s="133"/>
      <c r="S58" s="133"/>
      <c r="T58" s="133"/>
      <c r="U58" s="133"/>
      <c r="V58" s="133"/>
      <c r="W58" s="133"/>
      <c r="X58" s="133"/>
      <c r="Y58" s="133"/>
      <c r="Z58" s="133"/>
      <c r="AJ58" s="292"/>
      <c r="AK58" s="292"/>
      <c r="AL58" s="292"/>
      <c r="AM58" s="292"/>
      <c r="AN58" s="292"/>
    </row>
    <row r="59" spans="1:40" x14ac:dyDescent="0.25">
      <c r="A59" s="302"/>
      <c r="B59" s="328"/>
      <c r="C59" s="305"/>
      <c r="D59" s="304"/>
      <c r="E59" s="305"/>
      <c r="F59" s="306"/>
      <c r="G59" s="302"/>
      <c r="H59" s="302"/>
      <c r="I59" s="303"/>
      <c r="J59" s="217"/>
      <c r="K59" s="217"/>
      <c r="L59" s="217"/>
      <c r="M59" s="217"/>
      <c r="N59" s="217"/>
      <c r="O59" s="217"/>
      <c r="P59" s="217"/>
      <c r="Q59" s="217"/>
      <c r="R59" s="133"/>
      <c r="S59" s="133"/>
      <c r="T59" s="133"/>
      <c r="U59" s="133"/>
      <c r="V59" s="133"/>
      <c r="W59" s="133"/>
      <c r="X59" s="133"/>
      <c r="Y59" s="133"/>
      <c r="Z59" s="133"/>
      <c r="AJ59" s="292"/>
      <c r="AK59" s="292"/>
      <c r="AL59" s="292"/>
      <c r="AM59" s="292"/>
      <c r="AN59" s="292"/>
    </row>
    <row r="60" spans="1:40" x14ac:dyDescent="0.25">
      <c r="A60" s="307"/>
      <c r="B60" s="398" t="s">
        <v>754</v>
      </c>
      <c r="C60" s="399"/>
      <c r="D60" s="399"/>
      <c r="E60" s="399"/>
      <c r="F60" s="399"/>
      <c r="G60" s="399"/>
      <c r="H60" s="399"/>
      <c r="I60" s="399"/>
      <c r="J60" s="440"/>
      <c r="K60" s="217"/>
      <c r="L60" s="217"/>
      <c r="M60" s="217"/>
      <c r="N60" s="217"/>
      <c r="O60" s="217"/>
      <c r="P60" s="217"/>
      <c r="Q60" s="217"/>
      <c r="R60" s="133"/>
      <c r="S60" s="133"/>
      <c r="T60" s="133"/>
      <c r="U60" s="133"/>
      <c r="V60" s="133"/>
      <c r="W60" s="133"/>
      <c r="X60" s="133"/>
      <c r="Y60" s="133"/>
      <c r="Z60" s="133"/>
      <c r="AJ60" s="292"/>
      <c r="AK60" s="292"/>
      <c r="AL60" s="292"/>
      <c r="AM60" s="292"/>
      <c r="AN60" s="292"/>
    </row>
    <row r="61" spans="1:40" ht="45" x14ac:dyDescent="0.25">
      <c r="A61" s="307"/>
      <c r="B61" s="326" t="s">
        <v>131</v>
      </c>
      <c r="C61" s="166" t="s">
        <v>755</v>
      </c>
      <c r="D61" s="434" t="s">
        <v>743</v>
      </c>
      <c r="E61" s="261" t="s">
        <v>51</v>
      </c>
      <c r="F61" s="261" t="s">
        <v>52</v>
      </c>
      <c r="G61" s="165" t="s">
        <v>744</v>
      </c>
      <c r="H61" s="165" t="s">
        <v>745</v>
      </c>
      <c r="I61" s="261" t="s">
        <v>746</v>
      </c>
      <c r="J61" s="440"/>
      <c r="K61" s="217"/>
      <c r="L61" s="217"/>
      <c r="M61" s="217"/>
      <c r="N61" s="217"/>
      <c r="O61" s="217"/>
      <c r="P61" s="217"/>
      <c r="Q61" s="217"/>
      <c r="R61" s="133"/>
      <c r="V61" s="133"/>
      <c r="AJ61" s="292"/>
      <c r="AK61" s="292"/>
      <c r="AL61" s="292"/>
      <c r="AM61" s="292"/>
      <c r="AN61" s="292"/>
    </row>
    <row r="62" spans="1:40" x14ac:dyDescent="0.25">
      <c r="A62" s="307"/>
      <c r="B62" s="358" t="s">
        <v>1169</v>
      </c>
      <c r="C62" s="128">
        <f>'Unit costs'!O56</f>
        <v>10.428571428571429</v>
      </c>
      <c r="D62" s="128">
        <f>D$7*'Inputs and eligible population'!E79*$C$62</f>
        <v>0</v>
      </c>
      <c r="E62" s="128">
        <f>E$7*'Inputs and eligible population'!F79*$C$62</f>
        <v>3172.1817965711498</v>
      </c>
      <c r="F62" s="128">
        <f>F$7*'Inputs and eligible population'!G79*$C$62</f>
        <v>6605.7076855569294</v>
      </c>
      <c r="G62" s="128">
        <f>G$7*'Inputs and eligible population'!H79*$C$62</f>
        <v>6669.3986472240658</v>
      </c>
      <c r="H62" s="128">
        <f>H$7*'Inputs and eligible population'!I79*$C$62</f>
        <v>6733.703704880787</v>
      </c>
      <c r="I62" s="128">
        <f>I$7*'Inputs and eligible population'!J79*$C$62</f>
        <v>6798.6287795223925</v>
      </c>
      <c r="J62" s="440"/>
      <c r="K62" s="217"/>
      <c r="L62" s="217"/>
      <c r="M62" s="217"/>
      <c r="N62" s="217"/>
      <c r="O62" s="217"/>
      <c r="P62" s="217"/>
      <c r="Q62" s="217"/>
      <c r="R62" s="133"/>
      <c r="V62" s="133"/>
      <c r="AJ62" s="292"/>
      <c r="AK62" s="292"/>
      <c r="AL62" s="292"/>
      <c r="AM62" s="292"/>
      <c r="AN62" s="292"/>
    </row>
    <row r="63" spans="1:40" x14ac:dyDescent="0.25">
      <c r="A63" s="307"/>
      <c r="B63" s="357" t="s">
        <v>1170</v>
      </c>
      <c r="C63" s="128">
        <f>'Unit costs'!N57*'Unit costs'!O57-'Capacity (local prices) 3rd'!C62</f>
        <v>31.285714285714285</v>
      </c>
      <c r="D63" s="128">
        <f>D$7*'Inputs and eligible population'!E79*$C$63</f>
        <v>0</v>
      </c>
      <c r="E63" s="128">
        <f>E$7*'Inputs and eligible population'!F79*$C$63</f>
        <v>9516.5453897134485</v>
      </c>
      <c r="F63" s="128">
        <f>F$7*'Inputs and eligible population'!G79*$C$63</f>
        <v>19817.123056670785</v>
      </c>
      <c r="G63" s="128">
        <f>G$7*'Inputs and eligible population'!H79*$C$63</f>
        <v>20008.195941672198</v>
      </c>
      <c r="H63" s="128">
        <f>H$7*'Inputs and eligible population'!I79*$C$63</f>
        <v>20201.111114642361</v>
      </c>
      <c r="I63" s="128">
        <f>I$7*'Inputs and eligible population'!J79*$C$63</f>
        <v>20395.886338567176</v>
      </c>
      <c r="J63" s="440"/>
      <c r="K63" s="217"/>
      <c r="L63" s="217"/>
      <c r="M63" s="217"/>
      <c r="N63" s="217"/>
      <c r="O63" s="217"/>
      <c r="P63" s="217"/>
      <c r="Q63" s="217"/>
      <c r="R63" s="133"/>
      <c r="V63" s="133"/>
      <c r="AJ63" s="292"/>
      <c r="AK63" s="292"/>
      <c r="AL63" s="292"/>
      <c r="AM63" s="292"/>
      <c r="AN63" s="292"/>
    </row>
    <row r="64" spans="1:40" x14ac:dyDescent="0.25">
      <c r="A64" s="307"/>
      <c r="B64" s="357" t="s">
        <v>1171</v>
      </c>
      <c r="C64" s="128">
        <f>'Unit costs'!O61</f>
        <v>0.80571428571428527</v>
      </c>
      <c r="D64" s="128">
        <v>0</v>
      </c>
      <c r="E64" s="128">
        <v>0</v>
      </c>
      <c r="F64" s="128">
        <f>E$7*'Inputs and eligible population'!$F$79*$C$64</f>
        <v>245.08363469399006</v>
      </c>
      <c r="G64" s="128">
        <f>F$7*'Inputs and eligible population'!$G$79*$C$64</f>
        <v>510.35878556905561</v>
      </c>
      <c r="H64" s="128">
        <f>G$7*'Inputs and eligible population'!$H$79*$C$64</f>
        <v>515.27956671703714</v>
      </c>
      <c r="I64" s="128">
        <f>H$7*'Inputs and eligible population'!$I$79*$C$64</f>
        <v>520.24779308941936</v>
      </c>
      <c r="J64" s="440"/>
      <c r="K64" s="217"/>
      <c r="L64" s="217"/>
      <c r="M64" s="217"/>
      <c r="N64" s="217"/>
      <c r="O64" s="217"/>
      <c r="P64" s="217"/>
      <c r="Q64" s="217"/>
      <c r="R64" s="133"/>
      <c r="V64" s="133"/>
      <c r="AJ64" s="292"/>
      <c r="AK64" s="292"/>
      <c r="AL64" s="292"/>
      <c r="AM64" s="292"/>
      <c r="AN64" s="292"/>
    </row>
    <row r="65" spans="1:40" x14ac:dyDescent="0.25">
      <c r="A65" s="307"/>
      <c r="B65" s="357" t="s">
        <v>1172</v>
      </c>
      <c r="C65" s="128">
        <f>'Unit costs'!O62*'Unit costs'!N62-C64</f>
        <v>2.4171428571428559</v>
      </c>
      <c r="D65" s="128">
        <v>0</v>
      </c>
      <c r="E65" s="128">
        <v>0</v>
      </c>
      <c r="F65" s="128">
        <f>E$7*'Inputs and eligible population'!$F$79*$C$65</f>
        <v>735.25090408197025</v>
      </c>
      <c r="G65" s="128">
        <f>F$7*'Inputs and eligible population'!$G$79*$C$65</f>
        <v>1531.076356707167</v>
      </c>
      <c r="H65" s="128">
        <f>G$7*'Inputs and eligible population'!$H$79*$C$65</f>
        <v>1545.8387001511114</v>
      </c>
      <c r="I65" s="128">
        <f>H$7*'Inputs and eligible population'!$I$79*$C$65</f>
        <v>1560.7433792682582</v>
      </c>
      <c r="J65" s="440"/>
      <c r="K65" s="217"/>
      <c r="L65" s="217"/>
      <c r="M65" s="217"/>
      <c r="N65" s="217"/>
      <c r="O65" s="217"/>
      <c r="P65" s="217"/>
      <c r="Q65" s="217"/>
      <c r="R65" s="133"/>
      <c r="V65" s="133"/>
      <c r="AJ65" s="292"/>
      <c r="AK65" s="292"/>
      <c r="AL65" s="292"/>
      <c r="AM65" s="292"/>
      <c r="AN65" s="292"/>
    </row>
    <row r="66" spans="1:40" x14ac:dyDescent="0.25">
      <c r="A66" s="307"/>
      <c r="B66" s="706" t="s">
        <v>1234</v>
      </c>
      <c r="C66" s="128">
        <f>'Unit costs'!O81</f>
        <v>8.5</v>
      </c>
      <c r="D66" s="128">
        <f>D$7*'Inputs and eligible population'!E80*$C$66</f>
        <v>10323.443389106686</v>
      </c>
      <c r="E66" s="128">
        <f>E$7*'Inputs and eligible population'!F80*$C$66</f>
        <v>7756.6363107938387</v>
      </c>
      <c r="F66" s="128">
        <f>F$7*'Inputs and eligible population'!G80*$C$66</f>
        <v>5057.7948634328586</v>
      </c>
      <c r="G66" s="128">
        <f>G$7*'Inputs and eligible population'!H80*$C$66</f>
        <v>5106.5611476981276</v>
      </c>
      <c r="H66" s="128">
        <f>H$7*'Inputs and eligible population'!I80*$C$66</f>
        <v>5155.7976270870113</v>
      </c>
      <c r="I66" s="128">
        <f>I$7*'Inputs and eligible population'!J80*$C$66</f>
        <v>5205.5088351303657</v>
      </c>
      <c r="J66" s="217"/>
      <c r="K66" s="217"/>
      <c r="L66" s="217"/>
      <c r="M66" s="217"/>
      <c r="N66" s="217"/>
      <c r="O66" s="217"/>
      <c r="P66" s="217"/>
      <c r="Q66" s="217"/>
      <c r="R66" s="133"/>
      <c r="V66" s="133"/>
      <c r="AJ66" s="292"/>
      <c r="AK66" s="292"/>
      <c r="AL66" s="292"/>
      <c r="AM66" s="292"/>
      <c r="AN66" s="292"/>
    </row>
    <row r="67" spans="1:40" x14ac:dyDescent="0.25">
      <c r="A67" s="307"/>
      <c r="B67" s="706" t="s">
        <v>1235</v>
      </c>
      <c r="C67" s="128">
        <f>'Unit costs'!O81*'Unit costs'!N81-'Capacity (local prices) 3rd'!C66</f>
        <v>25.5</v>
      </c>
      <c r="D67" s="128">
        <f>D$7*'Inputs and eligible population'!E80*$C$67</f>
        <v>30970.330167320059</v>
      </c>
      <c r="E67" s="128">
        <f>E$7*'Inputs and eligible population'!F80*$C$67</f>
        <v>23269.908932381517</v>
      </c>
      <c r="F67" s="128">
        <f>F$7*'Inputs and eligible population'!G80*$C$67</f>
        <v>15173.384590298574</v>
      </c>
      <c r="G67" s="128">
        <f>G$7*'Inputs and eligible population'!H80*$C$67</f>
        <v>15319.683443094382</v>
      </c>
      <c r="H67" s="128">
        <f>H$7*'Inputs and eligible population'!I80*$C$67</f>
        <v>15467.392881261034</v>
      </c>
      <c r="I67" s="128">
        <f>I$7*'Inputs and eligible population'!J80*$C$67</f>
        <v>15616.526505391097</v>
      </c>
      <c r="J67" s="217"/>
      <c r="K67" s="217"/>
      <c r="L67" s="217"/>
      <c r="M67" s="217"/>
      <c r="N67" s="217"/>
      <c r="O67" s="217"/>
      <c r="P67" s="217"/>
      <c r="Q67" s="217"/>
      <c r="R67" s="133"/>
      <c r="V67" s="133"/>
      <c r="AJ67" s="292"/>
      <c r="AK67" s="292"/>
      <c r="AL67" s="292"/>
      <c r="AM67" s="292"/>
      <c r="AN67" s="292"/>
    </row>
    <row r="68" spans="1:40" x14ac:dyDescent="0.25">
      <c r="A68" s="307"/>
      <c r="B68" s="706" t="s">
        <v>1291</v>
      </c>
      <c r="C68" s="128">
        <f>'Unit costs'!O86*'Unit costs'!N86</f>
        <v>0</v>
      </c>
      <c r="D68" s="128">
        <f>D$7*'Inputs and eligible population'!E80*$C$68</f>
        <v>0</v>
      </c>
      <c r="E68" s="128">
        <f>E$7*'Inputs and eligible population'!F80*$C$68</f>
        <v>0</v>
      </c>
      <c r="F68" s="128">
        <f>F$7*'Inputs and eligible population'!G80*$C$68</f>
        <v>0</v>
      </c>
      <c r="G68" s="128">
        <f>G$7*'Inputs and eligible population'!H80*$C$68</f>
        <v>0</v>
      </c>
      <c r="H68" s="128">
        <f>H$7*'Inputs and eligible population'!I80*$C$68</f>
        <v>0</v>
      </c>
      <c r="I68" s="128">
        <f>I$7*'Inputs and eligible population'!J80*$C$68</f>
        <v>0</v>
      </c>
      <c r="J68" s="217"/>
      <c r="K68" s="217"/>
      <c r="L68" s="217"/>
      <c r="M68" s="217"/>
      <c r="N68" s="217"/>
      <c r="O68" s="217"/>
      <c r="P68" s="217"/>
      <c r="Q68" s="217"/>
      <c r="R68" s="133"/>
      <c r="V68" s="133"/>
      <c r="AJ68" s="292"/>
      <c r="AK68" s="292"/>
      <c r="AL68" s="292"/>
      <c r="AM68" s="292"/>
      <c r="AN68" s="292"/>
    </row>
    <row r="69" spans="1:40" x14ac:dyDescent="0.25">
      <c r="A69" s="307"/>
      <c r="B69" s="357" t="s">
        <v>1276</v>
      </c>
      <c r="C69" s="128">
        <f>'Unit costs'!O66</f>
        <v>13.035714285714286</v>
      </c>
      <c r="D69" s="128">
        <f>D$7*'Inputs and eligible population'!E81*$C$69</f>
        <v>1595.4901596414313</v>
      </c>
      <c r="E69" s="128">
        <f>E$7*'Inputs and eligible population'!F81*$C$69</f>
        <v>1734.7869199998479</v>
      </c>
      <c r="F69" s="128">
        <f>F$7*'Inputs and eligible population'!G81*$C$69</f>
        <v>1751.5134014734288</v>
      </c>
      <c r="G69" s="128">
        <f>G$7*'Inputs and eligible population'!H81*$C$69</f>
        <v>1768.4011564609268</v>
      </c>
      <c r="H69" s="128">
        <f>H$7*'Inputs and eligible population'!I81*$C$69</f>
        <v>1785.4517399305118</v>
      </c>
      <c r="I69" s="128">
        <f>I$7*'Inputs and eligible population'!J81*$C$69</f>
        <v>1802.6667218430584</v>
      </c>
      <c r="J69" s="440"/>
      <c r="K69" s="217"/>
      <c r="L69" s="217"/>
      <c r="M69" s="217"/>
      <c r="N69" s="217"/>
      <c r="O69" s="217"/>
      <c r="P69" s="217"/>
      <c r="Q69" s="217"/>
      <c r="R69" s="133"/>
      <c r="V69" s="133"/>
      <c r="AJ69" s="292"/>
      <c r="AK69" s="292"/>
      <c r="AL69" s="292"/>
      <c r="AM69" s="292"/>
      <c r="AN69" s="292"/>
    </row>
    <row r="70" spans="1:40" x14ac:dyDescent="0.25">
      <c r="A70" s="307"/>
      <c r="B70" s="357" t="s">
        <v>1277</v>
      </c>
      <c r="C70" s="128">
        <f>'Unit costs'!O70</f>
        <v>13</v>
      </c>
      <c r="D70" s="128">
        <f>D$7*'Inputs and eligible population'!E82*$C$70</f>
        <v>7098.8384089251613</v>
      </c>
      <c r="E70" s="128">
        <f>E$7*'Inputs and eligible population'!F82*$C$70</f>
        <v>7167.2840420815619</v>
      </c>
      <c r="F70" s="128">
        <f>F$7*'Inputs and eligible population'!G82*$C$70</f>
        <v>7236.3896148546009</v>
      </c>
      <c r="G70" s="128">
        <f>G$7*'Inputs and eligible population'!H82*$C$70</f>
        <v>7306.1614902550045</v>
      </c>
      <c r="H70" s="128">
        <f>H$7*'Inputs and eligible population'!I82*$C$70</f>
        <v>7376.6060926444143</v>
      </c>
      <c r="I70" s="128">
        <f>I$7*'Inputs and eligible population'!J82*$C$70</f>
        <v>7447.7299083269363</v>
      </c>
      <c r="J70" s="440"/>
      <c r="K70" s="217"/>
      <c r="L70" s="217"/>
      <c r="M70" s="217"/>
      <c r="N70" s="217"/>
      <c r="O70" s="217"/>
      <c r="P70" s="217"/>
      <c r="Q70" s="217"/>
      <c r="R70" s="133"/>
      <c r="V70" s="133"/>
      <c r="AJ70" s="292"/>
      <c r="AK70" s="292"/>
      <c r="AL70" s="292"/>
      <c r="AM70" s="292"/>
      <c r="AN70" s="292"/>
    </row>
    <row r="71" spans="1:40" x14ac:dyDescent="0.25">
      <c r="A71" s="307"/>
      <c r="B71" s="357" t="s">
        <v>1278</v>
      </c>
      <c r="C71" s="128">
        <f>'Unit costs'!O75</f>
        <v>1.9607142857142859</v>
      </c>
      <c r="D71" s="128">
        <f>D$7*'Inputs and eligible population'!E82*$C$71</f>
        <v>1070.6764523351412</v>
      </c>
      <c r="E71" s="128">
        <f>D$7*'Inputs and eligible population'!E82*$C$71</f>
        <v>1070.6764523351412</v>
      </c>
      <c r="F71" s="128">
        <f>E$7*'Inputs and eligible population'!F82*$C$71</f>
        <v>1080.9997085447192</v>
      </c>
      <c r="G71" s="128">
        <f>F$7*'Inputs and eligible population'!G82*$C$71</f>
        <v>1091.4224996030705</v>
      </c>
      <c r="H71" s="128">
        <f>G$7*'Inputs and eligible population'!H82*$C$71</f>
        <v>1101.9457852060434</v>
      </c>
      <c r="I71" s="128">
        <f>H$7*'Inputs and eligible population'!I82*$C$71</f>
        <v>1112.5705343026877</v>
      </c>
      <c r="J71" s="440"/>
      <c r="K71" s="217"/>
      <c r="L71" s="217"/>
      <c r="M71" s="217"/>
      <c r="N71" s="217"/>
      <c r="O71" s="217"/>
      <c r="P71" s="217"/>
      <c r="Q71" s="217"/>
      <c r="R71" s="133"/>
      <c r="V71" s="133"/>
      <c r="AJ71" s="292"/>
      <c r="AK71" s="292"/>
      <c r="AL71" s="292"/>
      <c r="AM71" s="292"/>
      <c r="AN71" s="292"/>
    </row>
    <row r="72" spans="1:40" x14ac:dyDescent="0.25">
      <c r="A72" s="307"/>
      <c r="B72" s="329"/>
      <c r="C72" s="329"/>
      <c r="D72" s="187">
        <f t="shared" ref="D72:H72" si="44">SUM(D62:D71)</f>
        <v>51058.778577328485</v>
      </c>
      <c r="E72" s="187">
        <f t="shared" si="44"/>
        <v>53688.019843876507</v>
      </c>
      <c r="F72" s="187">
        <f t="shared" si="44"/>
        <v>57703.247459607846</v>
      </c>
      <c r="G72" s="187">
        <f t="shared" si="44"/>
        <v>59311.259468283999</v>
      </c>
      <c r="H72" s="187">
        <f t="shared" si="44"/>
        <v>59883.127212520303</v>
      </c>
      <c r="I72" s="187">
        <f>SUM(I62:I71)</f>
        <v>60460.508795441398</v>
      </c>
      <c r="J72" s="302"/>
      <c r="K72" s="302"/>
      <c r="L72" s="302"/>
      <c r="M72" s="302"/>
      <c r="N72" s="302"/>
      <c r="O72" s="302"/>
      <c r="P72" s="302"/>
      <c r="Q72" s="302"/>
      <c r="R72" s="133"/>
      <c r="V72" s="133"/>
      <c r="AJ72" s="292"/>
      <c r="AK72" s="292"/>
      <c r="AL72" s="292"/>
      <c r="AM72" s="292"/>
      <c r="AN72" s="292"/>
    </row>
    <row r="73" spans="1:40" x14ac:dyDescent="0.25">
      <c r="A73" s="307"/>
      <c r="B73" s="262"/>
      <c r="C73" s="262"/>
      <c r="D73" s="291" t="s">
        <v>756</v>
      </c>
      <c r="E73" s="187">
        <f>E72-$D$72</f>
        <v>2629.2412665480224</v>
      </c>
      <c r="F73" s="187">
        <f>F72-$D$72</f>
        <v>6644.4688822793614</v>
      </c>
      <c r="G73" s="187">
        <f>G72-$D$72</f>
        <v>8252.480890955514</v>
      </c>
      <c r="H73" s="187">
        <f>H72-$D$72</f>
        <v>8824.3486351918182</v>
      </c>
      <c r="I73" s="187">
        <f>I72-$D$72</f>
        <v>9401.7302181129126</v>
      </c>
      <c r="J73" s="302"/>
      <c r="K73" s="302"/>
      <c r="L73" s="302"/>
      <c r="M73" s="302"/>
      <c r="N73" s="302"/>
      <c r="O73" s="302"/>
      <c r="P73" s="302"/>
      <c r="Q73" s="302"/>
      <c r="R73" s="133"/>
      <c r="S73" s="133"/>
      <c r="T73" s="133"/>
      <c r="U73" s="133"/>
      <c r="V73" s="133"/>
      <c r="W73" s="133"/>
      <c r="X73" s="133"/>
      <c r="Y73" s="133"/>
      <c r="Z73" s="133"/>
      <c r="AJ73" s="292"/>
      <c r="AK73" s="292"/>
      <c r="AL73" s="292"/>
      <c r="AM73" s="292"/>
      <c r="AN73" s="292"/>
    </row>
    <row r="74" spans="1:40" x14ac:dyDescent="0.25">
      <c r="A74" s="302"/>
      <c r="B74" s="328"/>
      <c r="C74" s="305"/>
      <c r="D74" s="305"/>
      <c r="E74" s="306"/>
      <c r="F74" s="302"/>
      <c r="G74" s="302"/>
      <c r="H74" s="217"/>
      <c r="I74" s="217"/>
      <c r="J74" s="217"/>
      <c r="K74" s="217"/>
      <c r="L74" s="217"/>
      <c r="M74" s="217"/>
      <c r="N74" s="217"/>
      <c r="O74" s="217"/>
      <c r="P74" s="217"/>
      <c r="Q74" s="217"/>
      <c r="R74" s="133"/>
      <c r="S74" s="133"/>
      <c r="T74" s="133"/>
      <c r="U74" s="133"/>
      <c r="V74" s="133"/>
      <c r="W74" s="133"/>
      <c r="X74" s="133"/>
      <c r="Y74" s="133"/>
      <c r="Z74" s="133"/>
      <c r="AJ74" s="292"/>
      <c r="AK74" s="292"/>
      <c r="AL74" s="292"/>
      <c r="AM74" s="292"/>
      <c r="AN74" s="292"/>
    </row>
    <row r="75" spans="1:40" x14ac:dyDescent="0.25">
      <c r="A75" s="293"/>
      <c r="B75" s="330" t="s">
        <v>757</v>
      </c>
      <c r="C75" s="308"/>
      <c r="D75" s="308"/>
      <c r="E75" s="309"/>
      <c r="F75" s="310"/>
      <c r="G75" s="311"/>
      <c r="H75" s="311"/>
      <c r="I75" s="311"/>
      <c r="J75" s="445"/>
      <c r="K75" s="293"/>
      <c r="L75" s="293"/>
      <c r="M75" s="293"/>
      <c r="N75" s="293"/>
      <c r="O75" s="293"/>
      <c r="P75" s="293"/>
      <c r="Q75" s="219"/>
      <c r="R75" s="133"/>
      <c r="V75" s="133"/>
    </row>
    <row r="76" spans="1:40" x14ac:dyDescent="0.25">
      <c r="A76" s="293"/>
      <c r="B76" s="400" t="s">
        <v>758</v>
      </c>
      <c r="C76" s="401"/>
      <c r="D76" s="401"/>
      <c r="E76" s="401"/>
      <c r="F76" s="401"/>
      <c r="G76" s="401"/>
      <c r="H76" s="401"/>
      <c r="I76" s="218"/>
      <c r="J76" s="442"/>
      <c r="K76" s="219"/>
      <c r="L76" s="441"/>
      <c r="M76" s="441"/>
      <c r="N76" s="441"/>
      <c r="O76" s="441"/>
      <c r="P76" s="441"/>
      <c r="Q76" s="441"/>
      <c r="R76" s="133"/>
      <c r="V76" s="133"/>
    </row>
    <row r="77" spans="1:40" ht="74.45" customHeight="1" x14ac:dyDescent="0.25">
      <c r="A77" s="293"/>
      <c r="B77" s="288" t="s">
        <v>131</v>
      </c>
      <c r="C77" s="166" t="s">
        <v>759</v>
      </c>
      <c r="D77" s="434" t="s">
        <v>743</v>
      </c>
      <c r="E77" s="261" t="s">
        <v>51</v>
      </c>
      <c r="F77" s="261" t="s">
        <v>52</v>
      </c>
      <c r="G77" s="165" t="s">
        <v>744</v>
      </c>
      <c r="H77" s="165" t="s">
        <v>745</v>
      </c>
      <c r="I77" s="261" t="s">
        <v>746</v>
      </c>
      <c r="J77" s="293"/>
      <c r="K77" s="746" t="s">
        <v>1252</v>
      </c>
      <c r="L77" s="434" t="s">
        <v>743</v>
      </c>
      <c r="M77" s="588" t="s">
        <v>51</v>
      </c>
      <c r="N77" s="588" t="s">
        <v>52</v>
      </c>
      <c r="O77" s="435" t="s">
        <v>744</v>
      </c>
      <c r="P77" s="435" t="s">
        <v>745</v>
      </c>
      <c r="Q77" s="588" t="s">
        <v>746</v>
      </c>
      <c r="R77" s="133"/>
      <c r="V77" s="133"/>
    </row>
    <row r="78" spans="1:40" x14ac:dyDescent="0.25">
      <c r="A78" s="293"/>
      <c r="B78" s="358" t="s">
        <v>1247</v>
      </c>
      <c r="C78" s="149">
        <f>'Inputs and eligible population'!K102</f>
        <v>10</v>
      </c>
      <c r="D78" s="128">
        <f t="shared" ref="D78:I78" si="45">((D62+D63+D64+D65)*$C$78)/60</f>
        <v>0</v>
      </c>
      <c r="E78" s="128">
        <f t="shared" si="45"/>
        <v>2114.7878643807662</v>
      </c>
      <c r="F78" s="128">
        <f t="shared" si="45"/>
        <v>4567.1942135006129</v>
      </c>
      <c r="G78" s="128">
        <f t="shared" si="45"/>
        <v>4786.5049551954144</v>
      </c>
      <c r="H78" s="128">
        <f t="shared" si="45"/>
        <v>4832.6555143985488</v>
      </c>
      <c r="I78" s="128">
        <f t="shared" si="45"/>
        <v>4879.2510484078748</v>
      </c>
      <c r="J78" s="293"/>
      <c r="K78" s="747">
        <f>'Inputs and eligible population'!$Q$102</f>
        <v>38.99</v>
      </c>
      <c r="L78" s="299">
        <f>(D78*'Inputs and eligible population'!$Q$102)/1000</f>
        <v>0</v>
      </c>
      <c r="M78" s="299">
        <f>(E78*'Inputs and eligible population'!$Q$102)/1000</f>
        <v>82.455578832206086</v>
      </c>
      <c r="N78" s="299">
        <f>(F78*'Inputs and eligible population'!$Q$102)/1000</f>
        <v>178.07490238438891</v>
      </c>
      <c r="O78" s="299">
        <f>(G78*'Inputs and eligible population'!$Q$102)/1000</f>
        <v>186.62582820306923</v>
      </c>
      <c r="P78" s="299">
        <f>(H78*'Inputs and eligible population'!$Q$102)/1000</f>
        <v>188.42523850639941</v>
      </c>
      <c r="Q78" s="299">
        <f>(I78*'Inputs and eligible population'!$Q$102)/1000</f>
        <v>190.24199837742304</v>
      </c>
      <c r="S78" s="133"/>
      <c r="T78" s="133"/>
      <c r="U78" s="133"/>
      <c r="V78" s="133"/>
      <c r="W78" s="133"/>
      <c r="X78" s="133"/>
      <c r="Y78" s="133"/>
      <c r="Z78" s="133"/>
      <c r="AJ78" s="292"/>
      <c r="AK78" s="292"/>
      <c r="AL78" s="292"/>
      <c r="AM78" s="292"/>
      <c r="AN78" s="292"/>
    </row>
    <row r="79" spans="1:40" x14ac:dyDescent="0.25">
      <c r="A79" s="293"/>
      <c r="B79" s="358" t="s">
        <v>1125</v>
      </c>
      <c r="C79" s="149">
        <f>'Inputs and eligible population'!L102</f>
        <v>10</v>
      </c>
      <c r="D79" s="128">
        <f>((D66+D67+D68)*$C$79)/60</f>
        <v>6882.2955927377907</v>
      </c>
      <c r="E79" s="128">
        <f t="shared" ref="E79:I79" si="46">((E66+E67+E68)*$C$79)/60</f>
        <v>5171.0908738625594</v>
      </c>
      <c r="F79" s="128">
        <f t="shared" si="46"/>
        <v>3371.8632422885721</v>
      </c>
      <c r="G79" s="128">
        <f t="shared" si="46"/>
        <v>3404.3740984654187</v>
      </c>
      <c r="H79" s="128">
        <f t="shared" si="46"/>
        <v>3437.198418058008</v>
      </c>
      <c r="I79" s="128">
        <f t="shared" si="46"/>
        <v>3470.3392234202433</v>
      </c>
      <c r="J79" s="293"/>
      <c r="K79" s="747">
        <f>'Inputs and eligible population'!$Q$102</f>
        <v>38.99</v>
      </c>
      <c r="L79" s="299">
        <f>(D79*'Inputs and eligible population'!$Q$102)/1000</f>
        <v>268.34070516084648</v>
      </c>
      <c r="M79" s="299">
        <f>(E79*'Inputs and eligible population'!$Q$102)/1000</f>
        <v>201.62083317190121</v>
      </c>
      <c r="N79" s="299">
        <f>(F79*'Inputs and eligible population'!$Q$102)/1000</f>
        <v>131.46894781683145</v>
      </c>
      <c r="O79" s="299">
        <f>(G79*'Inputs and eligible population'!$Q$102)/1000</f>
        <v>132.73654609916667</v>
      </c>
      <c r="P79" s="299">
        <f>(H79*'Inputs and eligible population'!$Q$102)/1000</f>
        <v>134.01636632008172</v>
      </c>
      <c r="Q79" s="299">
        <f>(I79*'Inputs and eligible population'!$Q$102)/1000</f>
        <v>135.30852632115528</v>
      </c>
      <c r="S79" s="133"/>
      <c r="T79" s="133"/>
      <c r="U79" s="133"/>
      <c r="V79" s="133"/>
      <c r="W79" s="133"/>
      <c r="X79" s="133"/>
      <c r="Y79" s="133"/>
      <c r="Z79" s="133"/>
      <c r="AJ79" s="292"/>
      <c r="AK79" s="292"/>
      <c r="AL79" s="292"/>
      <c r="AM79" s="292"/>
      <c r="AN79" s="292"/>
    </row>
    <row r="80" spans="1:40" x14ac:dyDescent="0.25">
      <c r="A80" s="293"/>
      <c r="B80" s="358" t="s">
        <v>1248</v>
      </c>
      <c r="C80" s="149">
        <f>'Inputs and eligible population'!M102</f>
        <v>0</v>
      </c>
      <c r="D80" s="128">
        <f t="shared" ref="D80:I80" si="47">(D69*$C$80)/60</f>
        <v>0</v>
      </c>
      <c r="E80" s="128">
        <f t="shared" si="47"/>
        <v>0</v>
      </c>
      <c r="F80" s="128">
        <f t="shared" si="47"/>
        <v>0</v>
      </c>
      <c r="G80" s="128">
        <f t="shared" si="47"/>
        <v>0</v>
      </c>
      <c r="H80" s="128">
        <f t="shared" si="47"/>
        <v>0</v>
      </c>
      <c r="I80" s="128">
        <f t="shared" si="47"/>
        <v>0</v>
      </c>
      <c r="J80" s="293"/>
      <c r="K80" s="747">
        <f>'Inputs and eligible population'!$Q$102</f>
        <v>38.99</v>
      </c>
      <c r="L80" s="299">
        <f>(D80*'Inputs and eligible population'!$Q$102)/1000</f>
        <v>0</v>
      </c>
      <c r="M80" s="299">
        <f>(E80*'Inputs and eligible population'!$Q$102)/1000</f>
        <v>0</v>
      </c>
      <c r="N80" s="299">
        <f>(F80*'Inputs and eligible population'!$Q$102)/1000</f>
        <v>0</v>
      </c>
      <c r="O80" s="299">
        <f>(G80*'Inputs and eligible population'!$Q$102)/1000</f>
        <v>0</v>
      </c>
      <c r="P80" s="299">
        <f>(H80*'Inputs and eligible population'!$Q$102)/1000</f>
        <v>0</v>
      </c>
      <c r="Q80" s="299">
        <f>(I80*'Inputs and eligible population'!$Q$102)/1000</f>
        <v>0</v>
      </c>
      <c r="S80" s="133"/>
      <c r="T80" s="133"/>
      <c r="U80" s="133"/>
      <c r="V80" s="133"/>
      <c r="W80" s="133"/>
      <c r="X80" s="133"/>
      <c r="Y80" s="133"/>
      <c r="Z80" s="133"/>
      <c r="AJ80" s="292"/>
      <c r="AK80" s="292"/>
      <c r="AL80" s="292"/>
      <c r="AM80" s="292"/>
      <c r="AN80" s="292"/>
    </row>
    <row r="81" spans="1:40" x14ac:dyDescent="0.25">
      <c r="A81" s="293"/>
      <c r="B81" s="358" t="s">
        <v>1251</v>
      </c>
      <c r="C81" s="149">
        <f>'Inputs and eligible population'!N102</f>
        <v>0</v>
      </c>
      <c r="D81" s="128">
        <f t="shared" ref="D81:I81" si="48">((D70+D71)*$C$81)/60</f>
        <v>0</v>
      </c>
      <c r="E81" s="128">
        <f t="shared" si="48"/>
        <v>0</v>
      </c>
      <c r="F81" s="128">
        <f t="shared" si="48"/>
        <v>0</v>
      </c>
      <c r="G81" s="128">
        <f t="shared" si="48"/>
        <v>0</v>
      </c>
      <c r="H81" s="128">
        <f t="shared" si="48"/>
        <v>0</v>
      </c>
      <c r="I81" s="128">
        <f t="shared" si="48"/>
        <v>0</v>
      </c>
      <c r="J81" s="293"/>
      <c r="K81" s="747">
        <f>'Inputs and eligible population'!$Q$102</f>
        <v>38.99</v>
      </c>
      <c r="L81" s="299">
        <f>(D81*'Inputs and eligible population'!$Q$102)/1000</f>
        <v>0</v>
      </c>
      <c r="M81" s="299">
        <f>(E81*'Inputs and eligible population'!$Q$102)/1000</f>
        <v>0</v>
      </c>
      <c r="N81" s="299">
        <f>(F81*'Inputs and eligible population'!$Q$102)/1000</f>
        <v>0</v>
      </c>
      <c r="O81" s="299">
        <f>(G81*'Inputs and eligible population'!$Q$102)/1000</f>
        <v>0</v>
      </c>
      <c r="P81" s="299">
        <f>(H81*'Inputs and eligible population'!$Q$102)/1000</f>
        <v>0</v>
      </c>
      <c r="Q81" s="299">
        <f>(I81*'Inputs and eligible population'!$Q$102)/1000</f>
        <v>0</v>
      </c>
      <c r="S81" s="133"/>
      <c r="T81" s="133"/>
      <c r="U81" s="133"/>
      <c r="V81" s="133"/>
      <c r="W81" s="133"/>
      <c r="X81" s="133"/>
      <c r="Y81" s="133"/>
      <c r="Z81" s="133"/>
      <c r="AJ81" s="292"/>
      <c r="AK81" s="292"/>
      <c r="AL81" s="292"/>
      <c r="AM81" s="292"/>
      <c r="AN81" s="292"/>
    </row>
    <row r="82" spans="1:40" x14ac:dyDescent="0.25">
      <c r="A82" s="293"/>
      <c r="B82" s="289" t="s">
        <v>760</v>
      </c>
      <c r="C82" s="329"/>
      <c r="D82" s="187">
        <f t="shared" ref="D82:I82" si="49">SUM(D78:D81)</f>
        <v>6882.2955927377907</v>
      </c>
      <c r="E82" s="187">
        <f t="shared" si="49"/>
        <v>7285.8787382433256</v>
      </c>
      <c r="F82" s="187">
        <f t="shared" si="49"/>
        <v>7939.057455789185</v>
      </c>
      <c r="G82" s="187">
        <f t="shared" si="49"/>
        <v>8190.8790536608331</v>
      </c>
      <c r="H82" s="187">
        <f t="shared" si="49"/>
        <v>8269.8539324565572</v>
      </c>
      <c r="I82" s="187">
        <f t="shared" si="49"/>
        <v>8349.5902718281177</v>
      </c>
      <c r="J82" s="293"/>
      <c r="K82" s="293"/>
      <c r="L82" s="300">
        <f t="shared" ref="L82:Q82" si="50">SUM(L78:L81)</f>
        <v>268.34070516084648</v>
      </c>
      <c r="M82" s="300">
        <f t="shared" si="50"/>
        <v>284.07641200410728</v>
      </c>
      <c r="N82" s="300">
        <f t="shared" si="50"/>
        <v>309.54385020122038</v>
      </c>
      <c r="O82" s="300">
        <f t="shared" si="50"/>
        <v>319.36237430223593</v>
      </c>
      <c r="P82" s="300">
        <f t="shared" si="50"/>
        <v>322.44160482648113</v>
      </c>
      <c r="Q82" s="300">
        <f t="shared" si="50"/>
        <v>325.55052469857833</v>
      </c>
      <c r="S82" s="133"/>
      <c r="T82" s="133"/>
      <c r="U82" s="133"/>
      <c r="V82" s="133"/>
      <c r="W82" s="133"/>
      <c r="X82" s="133"/>
      <c r="Y82" s="133"/>
      <c r="Z82" s="133"/>
      <c r="AJ82" s="292"/>
      <c r="AK82" s="292"/>
      <c r="AL82" s="292"/>
      <c r="AM82" s="292"/>
      <c r="AN82" s="292"/>
    </row>
    <row r="83" spans="1:40" x14ac:dyDescent="0.25">
      <c r="A83" s="293"/>
      <c r="B83" s="312"/>
      <c r="C83" s="262"/>
      <c r="D83" s="291" t="s">
        <v>761</v>
      </c>
      <c r="E83" s="187">
        <f>E82-$D$82</f>
        <v>403.58314550553496</v>
      </c>
      <c r="F83" s="187">
        <f>F82-$D$82</f>
        <v>1056.7618630513944</v>
      </c>
      <c r="G83" s="187">
        <f>G82-$D$82</f>
        <v>1308.5834609230424</v>
      </c>
      <c r="H83" s="187">
        <f>H82-$D$82</f>
        <v>1387.5583397187665</v>
      </c>
      <c r="I83" s="187">
        <f>I82-$D$82</f>
        <v>1467.294679090327</v>
      </c>
      <c r="J83" s="293"/>
      <c r="K83" s="293"/>
      <c r="L83" s="589"/>
      <c r="M83" s="300">
        <f>M82-$L$82</f>
        <v>15.7357068432608</v>
      </c>
      <c r="N83" s="300">
        <f>N82-$L$82</f>
        <v>41.203145040373897</v>
      </c>
      <c r="O83" s="300">
        <f>O82-$L$82</f>
        <v>51.021669141389452</v>
      </c>
      <c r="P83" s="300">
        <f>P82-$L$82</f>
        <v>54.100899665634643</v>
      </c>
      <c r="Q83" s="300">
        <f>Q82-$L$82</f>
        <v>57.209819537731846</v>
      </c>
      <c r="S83" s="133"/>
      <c r="T83" s="133"/>
      <c r="U83" s="133"/>
      <c r="V83" s="133"/>
      <c r="W83" s="133"/>
      <c r="X83" s="133"/>
      <c r="Y83" s="133"/>
      <c r="Z83" s="133"/>
      <c r="AJ83" s="292"/>
      <c r="AK83" s="292"/>
      <c r="AL83" s="292"/>
      <c r="AM83" s="292"/>
      <c r="AN83" s="292"/>
    </row>
    <row r="84" spans="1:40" x14ac:dyDescent="0.25">
      <c r="A84" s="293"/>
      <c r="B84" s="331"/>
      <c r="C84" s="219"/>
      <c r="D84" s="219"/>
      <c r="E84" s="219"/>
      <c r="F84" s="219"/>
      <c r="G84" s="219"/>
      <c r="H84" s="219"/>
      <c r="I84" s="219"/>
      <c r="J84" s="219"/>
      <c r="K84" s="219"/>
      <c r="L84" s="219"/>
      <c r="M84" s="219"/>
      <c r="N84" s="219"/>
      <c r="O84" s="219"/>
      <c r="P84" s="219"/>
      <c r="Q84" s="219"/>
      <c r="S84" s="133"/>
      <c r="T84" s="133"/>
      <c r="U84" s="133"/>
      <c r="V84" s="133"/>
      <c r="W84" s="133"/>
      <c r="X84" s="133"/>
      <c r="Y84" s="133"/>
      <c r="Z84" s="133"/>
      <c r="AJ84" s="292"/>
      <c r="AK84" s="292"/>
      <c r="AL84" s="292"/>
      <c r="AM84" s="292"/>
      <c r="AN84" s="292"/>
    </row>
    <row r="85" spans="1:40" x14ac:dyDescent="0.25">
      <c r="A85" s="293"/>
      <c r="B85" s="402" t="s">
        <v>762</v>
      </c>
      <c r="C85" s="401"/>
      <c r="D85" s="401"/>
      <c r="E85" s="401"/>
      <c r="F85" s="401"/>
      <c r="G85" s="401"/>
      <c r="H85" s="401"/>
      <c r="I85" s="218"/>
      <c r="J85" s="442"/>
      <c r="K85" s="219"/>
      <c r="L85" s="441"/>
      <c r="M85" s="441"/>
      <c r="N85" s="441"/>
      <c r="O85" s="441"/>
      <c r="P85" s="441"/>
      <c r="Q85" s="441"/>
      <c r="S85" s="133"/>
      <c r="T85" s="133"/>
      <c r="U85" s="133"/>
      <c r="V85" s="133"/>
      <c r="W85" s="133"/>
      <c r="X85" s="133"/>
      <c r="Y85" s="133"/>
      <c r="Z85" s="133"/>
      <c r="AJ85" s="292"/>
      <c r="AK85" s="292"/>
      <c r="AL85" s="292"/>
      <c r="AM85" s="292"/>
      <c r="AN85" s="292"/>
    </row>
    <row r="86" spans="1:40" ht="75" x14ac:dyDescent="0.25">
      <c r="A86" s="293"/>
      <c r="B86" s="288" t="s">
        <v>131</v>
      </c>
      <c r="C86" s="166" t="s">
        <v>89</v>
      </c>
      <c r="D86" s="434" t="s">
        <v>743</v>
      </c>
      <c r="E86" s="261" t="s">
        <v>51</v>
      </c>
      <c r="F86" s="261" t="s">
        <v>52</v>
      </c>
      <c r="G86" s="165" t="s">
        <v>744</v>
      </c>
      <c r="H86" s="165" t="s">
        <v>745</v>
      </c>
      <c r="I86" s="261" t="s">
        <v>746</v>
      </c>
      <c r="J86" s="293"/>
      <c r="K86" s="746" t="s">
        <v>1252</v>
      </c>
      <c r="L86" s="434" t="s">
        <v>743</v>
      </c>
      <c r="M86" s="261" t="s">
        <v>51</v>
      </c>
      <c r="N86" s="261" t="s">
        <v>52</v>
      </c>
      <c r="O86" s="165" t="s">
        <v>744</v>
      </c>
      <c r="P86" s="165" t="s">
        <v>745</v>
      </c>
      <c r="Q86" s="261" t="s">
        <v>746</v>
      </c>
      <c r="S86" s="133"/>
      <c r="T86" s="133"/>
      <c r="U86" s="133"/>
      <c r="V86" s="133"/>
      <c r="W86" s="133"/>
      <c r="X86" s="133"/>
      <c r="Y86" s="133"/>
      <c r="Z86" s="133"/>
      <c r="AJ86" s="292"/>
      <c r="AK86" s="292"/>
      <c r="AL86" s="292"/>
      <c r="AM86" s="292"/>
      <c r="AN86" s="292"/>
    </row>
    <row r="87" spans="1:40" x14ac:dyDescent="0.25">
      <c r="A87" s="293"/>
      <c r="B87" s="358" t="s">
        <v>1247</v>
      </c>
      <c r="C87" s="149">
        <f>'Inputs and eligible population'!K103</f>
        <v>15</v>
      </c>
      <c r="D87" s="128">
        <f t="shared" ref="D87:I87" si="51">((D62+D63+D64+D65)*$C$87)/60</f>
        <v>0</v>
      </c>
      <c r="E87" s="128">
        <f t="shared" si="51"/>
        <v>3172.1817965711498</v>
      </c>
      <c r="F87" s="128">
        <f t="shared" si="51"/>
        <v>6850.7913202509189</v>
      </c>
      <c r="G87" s="128">
        <f t="shared" si="51"/>
        <v>7179.7574327931216</v>
      </c>
      <c r="H87" s="128">
        <f t="shared" si="51"/>
        <v>7248.9832715978237</v>
      </c>
      <c r="I87" s="128">
        <f t="shared" si="51"/>
        <v>7318.8765726118118</v>
      </c>
      <c r="J87" s="293"/>
      <c r="K87" s="747">
        <f>'Inputs and eligible population'!$Q$103</f>
        <v>38.99</v>
      </c>
      <c r="L87" s="299">
        <f>(D87*'Inputs and eligible population'!$Q$103)/1000</f>
        <v>0</v>
      </c>
      <c r="M87" s="299">
        <f>(E87*'Inputs and eligible population'!$Q$103)/1000</f>
        <v>123.68336824830914</v>
      </c>
      <c r="N87" s="299">
        <f>(F87*'Inputs and eligible population'!$Q$103)/1000</f>
        <v>267.1123535765833</v>
      </c>
      <c r="O87" s="299">
        <f>(G87*'Inputs and eligible population'!$Q$103)/1000</f>
        <v>279.93874230460381</v>
      </c>
      <c r="P87" s="299">
        <f>(H87*'Inputs and eligible population'!$Q$103)/1000</f>
        <v>282.63785775959917</v>
      </c>
      <c r="Q87" s="299">
        <f>(I87*'Inputs and eligible population'!$Q$103)/1000</f>
        <v>285.36299756613454</v>
      </c>
      <c r="S87" s="133"/>
      <c r="T87" s="133"/>
      <c r="U87" s="133"/>
      <c r="V87" s="133"/>
      <c r="W87" s="133"/>
      <c r="X87" s="133"/>
      <c r="Y87" s="133"/>
      <c r="Z87" s="133"/>
      <c r="AJ87" s="292"/>
      <c r="AK87" s="292"/>
      <c r="AL87" s="292"/>
      <c r="AM87" s="292"/>
      <c r="AN87" s="292"/>
    </row>
    <row r="88" spans="1:40" x14ac:dyDescent="0.25">
      <c r="A88" s="293"/>
      <c r="B88" s="358" t="s">
        <v>1125</v>
      </c>
      <c r="C88" s="149">
        <f>'Inputs and eligible population'!L103</f>
        <v>15</v>
      </c>
      <c r="D88" s="128">
        <f>((D66+D67+D68)*$C$88)/60</f>
        <v>10323.443389106686</v>
      </c>
      <c r="E88" s="128">
        <f t="shared" ref="E88:I88" si="52">((E66+E67+E68)*$C$88)/60</f>
        <v>7756.6363107938387</v>
      </c>
      <c r="F88" s="128">
        <f t="shared" si="52"/>
        <v>5057.7948634328586</v>
      </c>
      <c r="G88" s="128">
        <f t="shared" si="52"/>
        <v>5106.5611476981276</v>
      </c>
      <c r="H88" s="128">
        <f t="shared" si="52"/>
        <v>5155.7976270870113</v>
      </c>
      <c r="I88" s="128">
        <f t="shared" si="52"/>
        <v>5205.5088351303657</v>
      </c>
      <c r="J88" s="293"/>
      <c r="K88" s="747">
        <f>'Inputs and eligible population'!$Q$103</f>
        <v>38.99</v>
      </c>
      <c r="L88" s="299">
        <f>(D88*'Inputs and eligible population'!$Q$103)/1000</f>
        <v>402.51105774126972</v>
      </c>
      <c r="M88" s="299">
        <f>(E88*'Inputs and eligible population'!$Q$103)/1000</f>
        <v>302.43124975785179</v>
      </c>
      <c r="N88" s="299">
        <f>(F88*'Inputs and eligible population'!$Q$103)/1000</f>
        <v>197.20342172524718</v>
      </c>
      <c r="O88" s="299">
        <f>(G88*'Inputs and eligible population'!$Q$103)/1000</f>
        <v>199.10481914875001</v>
      </c>
      <c r="P88" s="299">
        <f>(H88*'Inputs and eligible population'!$Q$103)/1000</f>
        <v>201.02454948012257</v>
      </c>
      <c r="Q88" s="299">
        <f>(I88*'Inputs and eligible population'!$Q$103)/1000</f>
        <v>202.96278948173295</v>
      </c>
      <c r="S88" s="133"/>
      <c r="T88" s="133"/>
      <c r="U88" s="133"/>
      <c r="V88" s="133"/>
      <c r="W88" s="133"/>
      <c r="X88" s="133"/>
      <c r="Y88" s="133"/>
      <c r="Z88" s="133"/>
      <c r="AJ88" s="292"/>
      <c r="AK88" s="292"/>
      <c r="AL88" s="292"/>
      <c r="AM88" s="292"/>
      <c r="AN88" s="292"/>
    </row>
    <row r="89" spans="1:40" x14ac:dyDescent="0.25">
      <c r="A89" s="293"/>
      <c r="B89" s="358" t="s">
        <v>1248</v>
      </c>
      <c r="C89" s="149">
        <f>'Inputs and eligible population'!M103</f>
        <v>0</v>
      </c>
      <c r="D89" s="128">
        <f t="shared" ref="D89:I89" si="53">(D69*$C$89)/60</f>
        <v>0</v>
      </c>
      <c r="E89" s="128">
        <f t="shared" si="53"/>
        <v>0</v>
      </c>
      <c r="F89" s="128">
        <f t="shared" si="53"/>
        <v>0</v>
      </c>
      <c r="G89" s="128">
        <f t="shared" si="53"/>
        <v>0</v>
      </c>
      <c r="H89" s="128">
        <f t="shared" si="53"/>
        <v>0</v>
      </c>
      <c r="I89" s="128">
        <f t="shared" si="53"/>
        <v>0</v>
      </c>
      <c r="J89" s="293"/>
      <c r="K89" s="747">
        <f>'Inputs and eligible population'!$Q$103</f>
        <v>38.99</v>
      </c>
      <c r="L89" s="299">
        <f>(D89*'Inputs and eligible population'!$Q$103)/1000</f>
        <v>0</v>
      </c>
      <c r="M89" s="299">
        <f>(E89*'Inputs and eligible population'!$Q$103)/1000</f>
        <v>0</v>
      </c>
      <c r="N89" s="299">
        <f>(F89*'Inputs and eligible population'!$Q$103)/1000</f>
        <v>0</v>
      </c>
      <c r="O89" s="299">
        <f>(G89*'Inputs and eligible population'!$Q$103)/1000</f>
        <v>0</v>
      </c>
      <c r="P89" s="299">
        <f>(H89*'Inputs and eligible population'!$Q$103)/1000</f>
        <v>0</v>
      </c>
      <c r="Q89" s="299">
        <f>(I89*'Inputs and eligible population'!$Q$103)/1000</f>
        <v>0</v>
      </c>
      <c r="S89" s="133"/>
      <c r="T89" s="133"/>
      <c r="U89" s="133"/>
      <c r="V89" s="133"/>
      <c r="W89" s="133"/>
      <c r="X89" s="133"/>
      <c r="Y89" s="133"/>
      <c r="Z89" s="133"/>
      <c r="AJ89" s="292"/>
      <c r="AK89" s="292"/>
      <c r="AL89" s="292"/>
      <c r="AM89" s="292"/>
      <c r="AN89" s="292"/>
    </row>
    <row r="90" spans="1:40" x14ac:dyDescent="0.25">
      <c r="A90" s="293"/>
      <c r="B90" s="358" t="s">
        <v>1251</v>
      </c>
      <c r="C90" s="149">
        <f>'Inputs and eligible population'!N103</f>
        <v>0</v>
      </c>
      <c r="D90" s="128">
        <f t="shared" ref="D90:I90" si="54">((D70+D71)*$C$90)/60</f>
        <v>0</v>
      </c>
      <c r="E90" s="128">
        <f t="shared" si="54"/>
        <v>0</v>
      </c>
      <c r="F90" s="128">
        <f t="shared" si="54"/>
        <v>0</v>
      </c>
      <c r="G90" s="128">
        <f t="shared" si="54"/>
        <v>0</v>
      </c>
      <c r="H90" s="128">
        <f t="shared" si="54"/>
        <v>0</v>
      </c>
      <c r="I90" s="128">
        <f t="shared" si="54"/>
        <v>0</v>
      </c>
      <c r="J90" s="293"/>
      <c r="K90" s="747">
        <f>'Inputs and eligible population'!$Q$103</f>
        <v>38.99</v>
      </c>
      <c r="L90" s="299">
        <f>(D90*'Inputs and eligible population'!$Q$103)/1000</f>
        <v>0</v>
      </c>
      <c r="M90" s="299">
        <f>(E90*'Inputs and eligible population'!$Q$103)/1000</f>
        <v>0</v>
      </c>
      <c r="N90" s="299">
        <f>(F90*'Inputs and eligible population'!$Q$103)/1000</f>
        <v>0</v>
      </c>
      <c r="O90" s="299">
        <f>(G90*'Inputs and eligible population'!$Q$103)/1000</f>
        <v>0</v>
      </c>
      <c r="P90" s="299">
        <f>(H90*'Inputs and eligible population'!$Q$103)/1000</f>
        <v>0</v>
      </c>
      <c r="Q90" s="299">
        <f>(I90*'Inputs and eligible population'!$Q$103)/1000</f>
        <v>0</v>
      </c>
      <c r="S90" s="133"/>
      <c r="T90" s="133"/>
      <c r="U90" s="133"/>
      <c r="V90" s="133"/>
      <c r="W90" s="133"/>
      <c r="X90" s="133"/>
      <c r="Y90" s="133"/>
      <c r="Z90" s="133"/>
      <c r="AJ90" s="292"/>
      <c r="AK90" s="292"/>
      <c r="AL90" s="292"/>
      <c r="AM90" s="292"/>
      <c r="AN90" s="292"/>
    </row>
    <row r="91" spans="1:40" x14ac:dyDescent="0.25">
      <c r="A91" s="293"/>
      <c r="B91" s="289"/>
      <c r="C91" s="289"/>
      <c r="D91" s="187">
        <f t="shared" ref="D91:I91" si="55">SUM(D87:D90)</f>
        <v>10323.443389106686</v>
      </c>
      <c r="E91" s="187">
        <f t="shared" si="55"/>
        <v>10928.818107364988</v>
      </c>
      <c r="F91" s="187">
        <f t="shared" si="55"/>
        <v>11908.586183683778</v>
      </c>
      <c r="G91" s="187">
        <f t="shared" si="55"/>
        <v>12286.31858049125</v>
      </c>
      <c r="H91" s="187">
        <f t="shared" si="55"/>
        <v>12404.780898684836</v>
      </c>
      <c r="I91" s="187">
        <f t="shared" si="55"/>
        <v>12524.385407742178</v>
      </c>
      <c r="J91" s="293"/>
      <c r="K91" s="293"/>
      <c r="L91" s="300">
        <f t="shared" ref="L91:Q91" si="56">SUM(L87:L90)</f>
        <v>402.51105774126972</v>
      </c>
      <c r="M91" s="300">
        <f t="shared" si="56"/>
        <v>426.11461800616092</v>
      </c>
      <c r="N91" s="300">
        <f t="shared" si="56"/>
        <v>464.31577530183051</v>
      </c>
      <c r="O91" s="300">
        <f t="shared" si="56"/>
        <v>479.04356145335385</v>
      </c>
      <c r="P91" s="300">
        <f t="shared" si="56"/>
        <v>483.66240723972174</v>
      </c>
      <c r="Q91" s="300">
        <f t="shared" si="56"/>
        <v>488.32578704786749</v>
      </c>
      <c r="S91" s="133"/>
      <c r="T91" s="133"/>
      <c r="U91" s="133"/>
      <c r="V91" s="133"/>
      <c r="W91" s="133"/>
      <c r="X91" s="133"/>
      <c r="Y91" s="133"/>
      <c r="Z91" s="133"/>
      <c r="AJ91" s="292"/>
      <c r="AK91" s="292"/>
      <c r="AL91" s="292"/>
      <c r="AM91" s="292"/>
      <c r="AN91" s="292"/>
    </row>
    <row r="92" spans="1:40" x14ac:dyDescent="0.25">
      <c r="A92" s="293"/>
      <c r="B92" s="289"/>
      <c r="C92" s="289"/>
      <c r="D92" s="291" t="s">
        <v>763</v>
      </c>
      <c r="E92" s="187">
        <f>E91-$D$91</f>
        <v>605.37471825830289</v>
      </c>
      <c r="F92" s="187">
        <f>F91-$D$91</f>
        <v>1585.142794577092</v>
      </c>
      <c r="G92" s="187">
        <f>G91-$D$91</f>
        <v>1962.8751913845645</v>
      </c>
      <c r="H92" s="187">
        <f>H91-$D$91</f>
        <v>2081.3375095781503</v>
      </c>
      <c r="I92" s="187">
        <f>I91-$D$91</f>
        <v>2200.9420186354928</v>
      </c>
      <c r="J92" s="293"/>
      <c r="K92" s="293"/>
      <c r="L92" s="589"/>
      <c r="M92" s="300">
        <f>M91-$L$91</f>
        <v>23.6035602648912</v>
      </c>
      <c r="N92" s="300">
        <f>N91-$L$91</f>
        <v>61.804717560560789</v>
      </c>
      <c r="O92" s="300">
        <f>O91-$L$91</f>
        <v>76.532503712084122</v>
      </c>
      <c r="P92" s="300">
        <f>P91-$L$91</f>
        <v>81.151349498452021</v>
      </c>
      <c r="Q92" s="300">
        <f>Q91-$L$91</f>
        <v>85.814729306597769</v>
      </c>
      <c r="S92" s="133"/>
      <c r="T92" s="133"/>
      <c r="U92" s="133"/>
      <c r="V92" s="133"/>
      <c r="W92" s="133"/>
      <c r="X92" s="133"/>
      <c r="Y92" s="133"/>
      <c r="Z92" s="133"/>
      <c r="AJ92" s="292"/>
      <c r="AK92" s="292"/>
      <c r="AL92" s="292"/>
      <c r="AM92" s="292"/>
      <c r="AN92" s="292"/>
    </row>
    <row r="93" spans="1:40" x14ac:dyDescent="0.25">
      <c r="A93" s="293"/>
      <c r="B93" s="331"/>
      <c r="C93" s="219"/>
      <c r="D93" s="219"/>
      <c r="E93" s="219"/>
      <c r="F93" s="219"/>
      <c r="G93" s="219"/>
      <c r="H93" s="219"/>
      <c r="I93" s="219"/>
      <c r="J93" s="219"/>
      <c r="K93" s="219"/>
      <c r="L93" s="219"/>
      <c r="M93" s="219"/>
      <c r="N93" s="219"/>
      <c r="O93" s="219"/>
      <c r="P93" s="219"/>
      <c r="Q93" s="219"/>
      <c r="S93" s="133"/>
      <c r="T93" s="133"/>
      <c r="U93" s="133"/>
      <c r="V93" s="133"/>
      <c r="W93" s="133"/>
      <c r="X93" s="133"/>
      <c r="Y93" s="133"/>
      <c r="Z93" s="133"/>
      <c r="AJ93" s="292"/>
      <c r="AK93" s="292"/>
      <c r="AL93" s="292"/>
      <c r="AM93" s="292"/>
      <c r="AN93" s="292"/>
    </row>
    <row r="94" spans="1:40" x14ac:dyDescent="0.25">
      <c r="A94" s="293"/>
      <c r="B94" s="402" t="s">
        <v>183</v>
      </c>
      <c r="C94" s="401"/>
      <c r="D94" s="401"/>
      <c r="E94" s="401"/>
      <c r="F94" s="401"/>
      <c r="G94" s="401"/>
      <c r="H94" s="401"/>
      <c r="I94" s="218"/>
      <c r="J94" s="442"/>
      <c r="K94" s="219"/>
      <c r="L94" s="441"/>
      <c r="M94" s="441"/>
      <c r="N94" s="441"/>
      <c r="O94" s="441"/>
      <c r="P94" s="441"/>
      <c r="Q94" s="441"/>
      <c r="V94" s="133"/>
      <c r="AJ94" s="292"/>
      <c r="AK94" s="292"/>
      <c r="AL94" s="292"/>
      <c r="AM94" s="292"/>
      <c r="AN94" s="292"/>
    </row>
    <row r="95" spans="1:40" ht="60" x14ac:dyDescent="0.25">
      <c r="A95" s="293"/>
      <c r="B95" s="288" t="s">
        <v>131</v>
      </c>
      <c r="C95" s="166" t="s">
        <v>90</v>
      </c>
      <c r="D95" s="434" t="s">
        <v>743</v>
      </c>
      <c r="E95" s="261" t="s">
        <v>51</v>
      </c>
      <c r="F95" s="261" t="s">
        <v>52</v>
      </c>
      <c r="G95" s="165" t="s">
        <v>744</v>
      </c>
      <c r="H95" s="165" t="s">
        <v>745</v>
      </c>
      <c r="I95" s="261" t="s">
        <v>746</v>
      </c>
      <c r="J95" s="293"/>
      <c r="K95" s="746" t="s">
        <v>1252</v>
      </c>
      <c r="L95" s="434" t="s">
        <v>743</v>
      </c>
      <c r="M95" s="261" t="s">
        <v>51</v>
      </c>
      <c r="N95" s="261" t="s">
        <v>52</v>
      </c>
      <c r="O95" s="165" t="s">
        <v>744</v>
      </c>
      <c r="P95" s="165" t="s">
        <v>745</v>
      </c>
      <c r="Q95" s="261" t="s">
        <v>746</v>
      </c>
      <c r="V95" s="133"/>
      <c r="AJ95" s="292"/>
      <c r="AK95" s="292"/>
      <c r="AL95" s="292"/>
      <c r="AM95" s="292"/>
      <c r="AN95" s="292"/>
    </row>
    <row r="96" spans="1:40" x14ac:dyDescent="0.25">
      <c r="A96" s="293"/>
      <c r="B96" s="358" t="s">
        <v>1247</v>
      </c>
      <c r="C96" s="149">
        <f>'Inputs and eligible population'!K104</f>
        <v>15</v>
      </c>
      <c r="D96" s="128">
        <f t="shared" ref="D96:I96" si="57">((D62+D63+D64+D65)*$C$96)/60</f>
        <v>0</v>
      </c>
      <c r="E96" s="128">
        <f t="shared" si="57"/>
        <v>3172.1817965711498</v>
      </c>
      <c r="F96" s="128">
        <f t="shared" si="57"/>
        <v>6850.7913202509189</v>
      </c>
      <c r="G96" s="128">
        <f t="shared" si="57"/>
        <v>7179.7574327931216</v>
      </c>
      <c r="H96" s="128">
        <f t="shared" si="57"/>
        <v>7248.9832715978237</v>
      </c>
      <c r="I96" s="128">
        <f t="shared" si="57"/>
        <v>7318.8765726118118</v>
      </c>
      <c r="J96" s="293"/>
      <c r="K96" s="747">
        <f>'Inputs and eligible population'!$Q$104</f>
        <v>38.99</v>
      </c>
      <c r="L96" s="299">
        <f>(D96*'Inputs and eligible population'!$Q$104)/1000</f>
        <v>0</v>
      </c>
      <c r="M96" s="299">
        <f>(E96*'Inputs and eligible population'!$Q$104)/1000</f>
        <v>123.68336824830914</v>
      </c>
      <c r="N96" s="299">
        <f>(F96*'Inputs and eligible population'!$Q$104)/1000</f>
        <v>267.1123535765833</v>
      </c>
      <c r="O96" s="299">
        <f>(G96*'Inputs and eligible population'!$Q$104)/1000</f>
        <v>279.93874230460381</v>
      </c>
      <c r="P96" s="299">
        <f>(H96*'Inputs and eligible population'!$Q$104)/1000</f>
        <v>282.63785775959917</v>
      </c>
      <c r="Q96" s="299">
        <f>(I96*'Inputs and eligible population'!$Q$104)/1000</f>
        <v>285.36299756613454</v>
      </c>
      <c r="V96" s="133"/>
      <c r="AJ96" s="292"/>
      <c r="AK96" s="292"/>
      <c r="AL96" s="292"/>
      <c r="AM96" s="292"/>
      <c r="AN96" s="292"/>
    </row>
    <row r="97" spans="1:40" x14ac:dyDescent="0.25">
      <c r="A97" s="293"/>
      <c r="B97" s="358" t="s">
        <v>1125</v>
      </c>
      <c r="C97" s="149">
        <f>'Inputs and eligible population'!L104</f>
        <v>15</v>
      </c>
      <c r="D97" s="128">
        <f>((D66+D67+D68)*$C$97)/60</f>
        <v>10323.443389106686</v>
      </c>
      <c r="E97" s="128">
        <f t="shared" ref="E97:I97" si="58">((E66+E67+E68)*$C$97)/60</f>
        <v>7756.6363107938387</v>
      </c>
      <c r="F97" s="128">
        <f t="shared" si="58"/>
        <v>5057.7948634328586</v>
      </c>
      <c r="G97" s="128">
        <f t="shared" si="58"/>
        <v>5106.5611476981276</v>
      </c>
      <c r="H97" s="128">
        <f t="shared" si="58"/>
        <v>5155.7976270870113</v>
      </c>
      <c r="I97" s="128">
        <f t="shared" si="58"/>
        <v>5205.5088351303657</v>
      </c>
      <c r="J97" s="293"/>
      <c r="K97" s="747">
        <f>'Inputs and eligible population'!$Q$104</f>
        <v>38.99</v>
      </c>
      <c r="L97" s="299">
        <f>(D97*'Inputs and eligible population'!$Q$104)/1000</f>
        <v>402.51105774126972</v>
      </c>
      <c r="M97" s="299">
        <f>(E97*'Inputs and eligible population'!$Q$104)/1000</f>
        <v>302.43124975785179</v>
      </c>
      <c r="N97" s="299">
        <f>(F97*'Inputs and eligible population'!$Q$104)/1000</f>
        <v>197.20342172524718</v>
      </c>
      <c r="O97" s="299">
        <f>(G97*'Inputs and eligible population'!$Q$104)/1000</f>
        <v>199.10481914875001</v>
      </c>
      <c r="P97" s="299">
        <f>(H97*'Inputs and eligible population'!$Q$104)/1000</f>
        <v>201.02454948012257</v>
      </c>
      <c r="Q97" s="299">
        <f>(I97*'Inputs and eligible population'!$Q$104)/1000</f>
        <v>202.96278948173295</v>
      </c>
      <c r="V97" s="133"/>
      <c r="AJ97" s="292"/>
      <c r="AK97" s="292"/>
      <c r="AL97" s="292"/>
      <c r="AM97" s="292"/>
      <c r="AN97" s="292"/>
    </row>
    <row r="98" spans="1:40" x14ac:dyDescent="0.25">
      <c r="A98" s="293"/>
      <c r="B98" s="358" t="s">
        <v>1248</v>
      </c>
      <c r="C98" s="149">
        <f>'Inputs and eligible population'!M104</f>
        <v>0</v>
      </c>
      <c r="D98" s="128">
        <f t="shared" ref="D98:I98" si="59">(D69*$C$98)/60</f>
        <v>0</v>
      </c>
      <c r="E98" s="128">
        <f t="shared" si="59"/>
        <v>0</v>
      </c>
      <c r="F98" s="128">
        <f t="shared" si="59"/>
        <v>0</v>
      </c>
      <c r="G98" s="128">
        <f t="shared" si="59"/>
        <v>0</v>
      </c>
      <c r="H98" s="128">
        <f t="shared" si="59"/>
        <v>0</v>
      </c>
      <c r="I98" s="128">
        <f t="shared" si="59"/>
        <v>0</v>
      </c>
      <c r="J98" s="293"/>
      <c r="K98" s="747">
        <f>'Inputs and eligible population'!$Q$104</f>
        <v>38.99</v>
      </c>
      <c r="L98" s="299">
        <f>(D98*'Inputs and eligible population'!$Q$104)/1000</f>
        <v>0</v>
      </c>
      <c r="M98" s="299">
        <f>(E98*'Inputs and eligible population'!$Q$104)/1000</f>
        <v>0</v>
      </c>
      <c r="N98" s="299">
        <f>(F98*'Inputs and eligible population'!$Q$104)/1000</f>
        <v>0</v>
      </c>
      <c r="O98" s="299">
        <f>(G98*'Inputs and eligible population'!$Q$104)/1000</f>
        <v>0</v>
      </c>
      <c r="P98" s="299">
        <f>(H98*'Inputs and eligible population'!$Q$104)/1000</f>
        <v>0</v>
      </c>
      <c r="Q98" s="299">
        <f>(I98*'Inputs and eligible population'!$Q$104)/1000</f>
        <v>0</v>
      </c>
      <c r="V98" s="133"/>
      <c r="AJ98" s="292"/>
      <c r="AK98" s="292"/>
      <c r="AL98" s="292"/>
      <c r="AM98" s="292"/>
      <c r="AN98" s="292"/>
    </row>
    <row r="99" spans="1:40" x14ac:dyDescent="0.25">
      <c r="A99" s="293"/>
      <c r="B99" s="358" t="s">
        <v>1251</v>
      </c>
      <c r="C99" s="149">
        <f>'Inputs and eligible population'!N104</f>
        <v>0</v>
      </c>
      <c r="D99" s="128">
        <f t="shared" ref="D99:I99" si="60">((D70+D71)*$C$99)/60</f>
        <v>0</v>
      </c>
      <c r="E99" s="128">
        <f t="shared" si="60"/>
        <v>0</v>
      </c>
      <c r="F99" s="128">
        <f t="shared" si="60"/>
        <v>0</v>
      </c>
      <c r="G99" s="128">
        <f t="shared" si="60"/>
        <v>0</v>
      </c>
      <c r="H99" s="128">
        <f t="shared" si="60"/>
        <v>0</v>
      </c>
      <c r="I99" s="128">
        <f t="shared" si="60"/>
        <v>0</v>
      </c>
      <c r="J99" s="293"/>
      <c r="K99" s="747">
        <f>'Inputs and eligible population'!$Q$104</f>
        <v>38.99</v>
      </c>
      <c r="L99" s="299">
        <f>(D99*'Inputs and eligible population'!$Q$104)/1000</f>
        <v>0</v>
      </c>
      <c r="M99" s="299">
        <f>(E99*'Inputs and eligible population'!$Q$104)/1000</f>
        <v>0</v>
      </c>
      <c r="N99" s="299">
        <f>(F99*'Inputs and eligible population'!$Q$104)/1000</f>
        <v>0</v>
      </c>
      <c r="O99" s="299">
        <f>(G99*'Inputs and eligible population'!$Q$104)/1000</f>
        <v>0</v>
      </c>
      <c r="P99" s="299">
        <f>(H99*'Inputs and eligible population'!$Q$104)/1000</f>
        <v>0</v>
      </c>
      <c r="Q99" s="299">
        <f>(I99*'Inputs and eligible population'!$Q$104)/1000</f>
        <v>0</v>
      </c>
      <c r="V99" s="133"/>
      <c r="AJ99" s="292"/>
      <c r="AK99" s="292"/>
      <c r="AL99" s="292"/>
      <c r="AM99" s="292"/>
      <c r="AN99" s="292"/>
    </row>
    <row r="100" spans="1:40" x14ac:dyDescent="0.25">
      <c r="A100" s="293"/>
      <c r="B100" s="289"/>
      <c r="C100" s="289"/>
      <c r="D100" s="187">
        <f t="shared" ref="D100:I100" si="61">SUM(D96:D99)</f>
        <v>10323.443389106686</v>
      </c>
      <c r="E100" s="187">
        <f t="shared" si="61"/>
        <v>10928.818107364988</v>
      </c>
      <c r="F100" s="187">
        <f t="shared" si="61"/>
        <v>11908.586183683778</v>
      </c>
      <c r="G100" s="187">
        <f t="shared" si="61"/>
        <v>12286.31858049125</v>
      </c>
      <c r="H100" s="187">
        <f t="shared" si="61"/>
        <v>12404.780898684836</v>
      </c>
      <c r="I100" s="187">
        <f t="shared" si="61"/>
        <v>12524.385407742178</v>
      </c>
      <c r="J100" s="293"/>
      <c r="K100" s="293"/>
      <c r="L100" s="300">
        <f t="shared" ref="L100:Q100" si="62">SUM(L96:L99)</f>
        <v>402.51105774126972</v>
      </c>
      <c r="M100" s="300">
        <f t="shared" si="62"/>
        <v>426.11461800616092</v>
      </c>
      <c r="N100" s="300">
        <f t="shared" si="62"/>
        <v>464.31577530183051</v>
      </c>
      <c r="O100" s="300">
        <f t="shared" si="62"/>
        <v>479.04356145335385</v>
      </c>
      <c r="P100" s="300">
        <f t="shared" si="62"/>
        <v>483.66240723972174</v>
      </c>
      <c r="Q100" s="300">
        <f t="shared" si="62"/>
        <v>488.32578704786749</v>
      </c>
      <c r="R100" s="133"/>
      <c r="S100" s="133"/>
      <c r="T100" s="133"/>
      <c r="U100" s="133"/>
      <c r="V100" s="133"/>
      <c r="W100" s="133"/>
      <c r="X100" s="133"/>
      <c r="Y100" s="133"/>
      <c r="Z100" s="133"/>
      <c r="AJ100" s="292"/>
      <c r="AK100" s="292"/>
      <c r="AL100" s="292"/>
      <c r="AM100" s="292"/>
      <c r="AN100" s="292"/>
    </row>
    <row r="101" spans="1:40" x14ac:dyDescent="0.25">
      <c r="A101" s="293"/>
      <c r="B101" s="312"/>
      <c r="C101" s="289"/>
      <c r="D101" s="291" t="s">
        <v>764</v>
      </c>
      <c r="E101" s="187">
        <f>E100-$D$100</f>
        <v>605.37471825830289</v>
      </c>
      <c r="F101" s="187">
        <f>F100-$D$100</f>
        <v>1585.142794577092</v>
      </c>
      <c r="G101" s="187">
        <f>G100-$D$100</f>
        <v>1962.8751913845645</v>
      </c>
      <c r="H101" s="187">
        <f>H100-$D$100</f>
        <v>2081.3375095781503</v>
      </c>
      <c r="I101" s="187">
        <f>I100-$D$100</f>
        <v>2200.9420186354928</v>
      </c>
      <c r="J101" s="293"/>
      <c r="K101" s="293"/>
      <c r="L101" s="589"/>
      <c r="M101" s="300">
        <f>M100-$L$100</f>
        <v>23.6035602648912</v>
      </c>
      <c r="N101" s="300">
        <f>N100-$L$100</f>
        <v>61.804717560560789</v>
      </c>
      <c r="O101" s="300">
        <f>O100-$L$100</f>
        <v>76.532503712084122</v>
      </c>
      <c r="P101" s="300">
        <f>P100-$L$100</f>
        <v>81.151349498452021</v>
      </c>
      <c r="Q101" s="300">
        <f>Q100-$L$100</f>
        <v>85.814729306597769</v>
      </c>
      <c r="R101" s="133"/>
      <c r="S101" s="133"/>
      <c r="T101" s="133"/>
      <c r="U101" s="133"/>
      <c r="V101" s="133"/>
      <c r="W101" s="133"/>
      <c r="X101" s="133"/>
      <c r="Y101" s="133"/>
      <c r="Z101" s="133"/>
      <c r="AJ101" s="292"/>
      <c r="AK101" s="292"/>
      <c r="AL101" s="292"/>
      <c r="AM101" s="292"/>
      <c r="AN101" s="292"/>
    </row>
    <row r="102" spans="1:40" x14ac:dyDescent="0.25">
      <c r="A102" s="293"/>
      <c r="B102" s="331"/>
      <c r="C102" s="219"/>
      <c r="D102" s="219"/>
      <c r="E102" s="219"/>
      <c r="F102" s="219"/>
      <c r="G102" s="219"/>
      <c r="H102" s="219"/>
      <c r="I102" s="219"/>
      <c r="J102" s="293"/>
      <c r="K102" s="293"/>
      <c r="L102" s="219"/>
      <c r="M102" s="219"/>
      <c r="N102" s="219"/>
      <c r="O102" s="219"/>
      <c r="P102" s="219"/>
      <c r="Q102" s="219"/>
      <c r="R102" s="133"/>
      <c r="S102" s="133"/>
      <c r="T102" s="133"/>
      <c r="U102" s="133"/>
      <c r="V102" s="133"/>
      <c r="W102" s="133"/>
      <c r="X102" s="133"/>
      <c r="Y102" s="133"/>
      <c r="Z102" s="133"/>
      <c r="AJ102" s="292"/>
      <c r="AK102" s="292"/>
      <c r="AL102" s="292"/>
      <c r="AM102" s="292"/>
      <c r="AN102" s="292"/>
    </row>
    <row r="103" spans="1:40" ht="13.5" customHeight="1" x14ac:dyDescent="0.25">
      <c r="A103" s="295"/>
      <c r="B103" s="332" t="s">
        <v>765</v>
      </c>
      <c r="C103" s="315"/>
      <c r="D103" s="314"/>
      <c r="E103" s="315"/>
      <c r="F103" s="316"/>
      <c r="G103" s="317"/>
      <c r="H103" s="317"/>
      <c r="I103" s="373"/>
      <c r="J103" s="295"/>
      <c r="K103" s="295"/>
      <c r="L103" s="295"/>
      <c r="M103" s="295"/>
      <c r="N103" s="295"/>
      <c r="O103" s="295"/>
      <c r="P103" s="295"/>
      <c r="Q103" s="295"/>
      <c r="R103" s="133"/>
      <c r="S103" s="133"/>
      <c r="T103" s="133"/>
      <c r="U103" s="133"/>
      <c r="V103" s="133"/>
      <c r="W103" s="133"/>
      <c r="X103" s="133"/>
      <c r="Y103" s="133"/>
      <c r="Z103" s="133"/>
      <c r="AJ103" s="292"/>
      <c r="AK103" s="292"/>
      <c r="AL103" s="292"/>
      <c r="AM103" s="292"/>
      <c r="AN103" s="292"/>
    </row>
    <row r="104" spans="1:40" hidden="1" x14ac:dyDescent="0.25">
      <c r="A104" s="295"/>
      <c r="B104" s="403" t="s">
        <v>766</v>
      </c>
      <c r="C104" s="404"/>
      <c r="D104" s="404"/>
      <c r="E104" s="404"/>
      <c r="F104" s="404"/>
      <c r="G104" s="404"/>
      <c r="H104" s="404"/>
      <c r="I104" s="222"/>
      <c r="J104" s="295"/>
      <c r="K104" s="295"/>
      <c r="L104" s="295"/>
      <c r="M104" s="295"/>
      <c r="N104" s="295"/>
      <c r="O104" s="295"/>
      <c r="P104" s="295"/>
      <c r="Q104" s="295"/>
      <c r="R104" s="133"/>
      <c r="S104" s="133"/>
      <c r="T104" s="133"/>
      <c r="U104" s="133"/>
      <c r="V104" s="133"/>
      <c r="W104" s="133"/>
      <c r="X104" s="133"/>
      <c r="Y104" s="133"/>
      <c r="Z104" s="133"/>
      <c r="AJ104" s="292"/>
      <c r="AK104" s="292"/>
      <c r="AL104" s="292"/>
      <c r="AM104" s="292"/>
      <c r="AN104" s="292"/>
    </row>
    <row r="105" spans="1:40" ht="75" hidden="1" x14ac:dyDescent="0.25">
      <c r="A105" s="295"/>
      <c r="B105" s="285" t="s">
        <v>131</v>
      </c>
      <c r="C105" s="166" t="s">
        <v>767</v>
      </c>
      <c r="D105" s="434" t="s">
        <v>743</v>
      </c>
      <c r="E105" s="261" t="s">
        <v>51</v>
      </c>
      <c r="F105" s="261" t="s">
        <v>52</v>
      </c>
      <c r="G105" s="165" t="s">
        <v>744</v>
      </c>
      <c r="H105" s="165" t="s">
        <v>745</v>
      </c>
      <c r="I105" s="261" t="s">
        <v>746</v>
      </c>
      <c r="J105" s="295"/>
      <c r="K105" s="295"/>
      <c r="L105" s="295"/>
      <c r="M105" s="295"/>
      <c r="N105" s="295"/>
      <c r="O105" s="295"/>
      <c r="P105" s="295"/>
      <c r="Q105" s="295"/>
      <c r="R105" s="133"/>
      <c r="S105" s="133"/>
      <c r="T105" s="133"/>
      <c r="U105" s="133"/>
      <c r="V105" s="133"/>
      <c r="W105" s="133"/>
      <c r="X105" s="133"/>
      <c r="Y105" s="133"/>
      <c r="Z105" s="133"/>
      <c r="AJ105" s="292"/>
      <c r="AK105" s="292"/>
      <c r="AL105" s="292"/>
      <c r="AM105" s="292"/>
      <c r="AN105" s="292"/>
    </row>
    <row r="106" spans="1:40" hidden="1" x14ac:dyDescent="0.25">
      <c r="A106" s="295"/>
      <c r="B106" s="358" t="s">
        <v>1181</v>
      </c>
      <c r="C106" s="149">
        <f>'Inputs and eligible population'!F105</f>
        <v>0</v>
      </c>
      <c r="D106" s="128" t="e">
        <f>D$7*'Inputs and eligible population'!#REF!*'Unit costs'!$O$9*'Capacity (local prices) 3rd'!$C106</f>
        <v>#REF!</v>
      </c>
      <c r="E106" s="128" t="e">
        <f>E$7*'Inputs and eligible population'!#REF!*'Unit costs'!$O$9*'Capacity (local prices) 3rd'!$C106</f>
        <v>#REF!</v>
      </c>
      <c r="F106" s="128" t="e">
        <f>F$7*'Inputs and eligible population'!#REF!*'Unit costs'!$O$9*'Capacity (local prices) 3rd'!$C106</f>
        <v>#REF!</v>
      </c>
      <c r="G106" s="128" t="e">
        <f>G$7*'Inputs and eligible population'!#REF!*'Unit costs'!$O$9*'Capacity (local prices) 3rd'!$C106</f>
        <v>#REF!</v>
      </c>
      <c r="H106" s="128" t="e">
        <f>H$7*'Inputs and eligible population'!#REF!*'Unit costs'!$O$9*'Capacity (local prices) 3rd'!$C106</f>
        <v>#REF!</v>
      </c>
      <c r="I106" s="128" t="e">
        <f>I$7*'Inputs and eligible population'!#REF!*'Unit costs'!$O$9*'Capacity (local prices) 3rd'!$C106</f>
        <v>#REF!</v>
      </c>
      <c r="J106" s="295"/>
      <c r="K106" s="295"/>
      <c r="L106" s="295"/>
      <c r="M106" s="295"/>
      <c r="N106" s="295"/>
      <c r="O106" s="295"/>
      <c r="P106" s="295"/>
      <c r="Q106" s="295"/>
      <c r="R106" s="133"/>
      <c r="S106" s="133"/>
      <c r="T106" s="133"/>
      <c r="U106" s="133"/>
      <c r="V106" s="133"/>
      <c r="W106" s="133"/>
      <c r="X106" s="133"/>
      <c r="Y106" s="133"/>
      <c r="Z106" s="133"/>
      <c r="AJ106" s="292"/>
      <c r="AK106" s="292"/>
      <c r="AL106" s="292"/>
      <c r="AM106" s="292"/>
      <c r="AN106" s="292"/>
    </row>
    <row r="107" spans="1:40" hidden="1" x14ac:dyDescent="0.25">
      <c r="A107" s="295"/>
      <c r="B107" s="358" t="s">
        <v>1182</v>
      </c>
      <c r="C107" s="149">
        <f>'Inputs and eligible population'!H105</f>
        <v>0</v>
      </c>
      <c r="D107" s="128" t="e">
        <f>D$7*'Inputs and eligible population'!#REF!*'Unit costs'!$O$14*'Capacity (local prices) 3rd'!$C107</f>
        <v>#REF!</v>
      </c>
      <c r="E107" s="128" t="e">
        <f>E$7*'Inputs and eligible population'!#REF!*'Unit costs'!$O$14*'Capacity (local prices) 3rd'!$C107</f>
        <v>#REF!</v>
      </c>
      <c r="F107" s="128" t="e">
        <f>F$7*'Inputs and eligible population'!#REF!*'Unit costs'!$O$14*'Capacity (local prices) 3rd'!$C107</f>
        <v>#REF!</v>
      </c>
      <c r="G107" s="128" t="e">
        <f>G$7*'Inputs and eligible population'!#REF!*'Unit costs'!$O$14*'Capacity (local prices) 3rd'!$C107</f>
        <v>#REF!</v>
      </c>
      <c r="H107" s="128" t="e">
        <f>H$7*'Inputs and eligible population'!#REF!*'Unit costs'!$O$14*'Capacity (local prices) 3rd'!$C107</f>
        <v>#REF!</v>
      </c>
      <c r="I107" s="128" t="e">
        <f>I$7*'Inputs and eligible population'!#REF!*'Unit costs'!$O$14*'Capacity (local prices) 3rd'!$C107</f>
        <v>#REF!</v>
      </c>
      <c r="J107" s="295"/>
      <c r="K107" s="295"/>
      <c r="L107" s="295"/>
      <c r="M107" s="295"/>
      <c r="N107" s="295"/>
      <c r="O107" s="295"/>
      <c r="P107" s="295"/>
      <c r="Q107" s="295"/>
      <c r="R107" s="133"/>
      <c r="S107" s="133"/>
      <c r="T107" s="133"/>
      <c r="U107" s="133"/>
      <c r="V107" s="133"/>
      <c r="W107" s="133"/>
      <c r="X107" s="133"/>
      <c r="Y107" s="133"/>
      <c r="Z107" s="133"/>
      <c r="AJ107" s="292"/>
      <c r="AK107" s="292"/>
      <c r="AL107" s="292"/>
      <c r="AM107" s="292"/>
      <c r="AN107" s="292"/>
    </row>
    <row r="108" spans="1:40" hidden="1" x14ac:dyDescent="0.25">
      <c r="A108" s="295"/>
      <c r="B108" s="358" t="s">
        <v>1183</v>
      </c>
      <c r="C108" s="149">
        <f>'Inputs and eligible population'!I105</f>
        <v>0</v>
      </c>
      <c r="D108" s="128" t="e">
        <f>D$7*'Inputs and eligible population'!#REF!*'Unit costs'!$O$36*'Capacity (local prices) 3rd'!$C108</f>
        <v>#REF!</v>
      </c>
      <c r="E108" s="128" t="e">
        <f>E$7*'Inputs and eligible population'!#REF!*'Unit costs'!$O$36*'Capacity (local prices) 3rd'!$C108</f>
        <v>#REF!</v>
      </c>
      <c r="F108" s="128" t="e">
        <f>F$7*'Inputs and eligible population'!#REF!*'Unit costs'!$O$36*'Capacity (local prices) 3rd'!$C108</f>
        <v>#REF!</v>
      </c>
      <c r="G108" s="128" t="e">
        <f>G$7*'Inputs and eligible population'!#REF!*'Unit costs'!$O$36*'Capacity (local prices) 3rd'!$C108</f>
        <v>#REF!</v>
      </c>
      <c r="H108" s="128" t="e">
        <f>H$7*'Inputs and eligible population'!#REF!*'Unit costs'!$O$36*'Capacity (local prices) 3rd'!$C108</f>
        <v>#REF!</v>
      </c>
      <c r="I108" s="128" t="e">
        <f>I$7*'Inputs and eligible population'!#REF!*'Unit costs'!$O$36*'Capacity (local prices) 3rd'!$C108</f>
        <v>#REF!</v>
      </c>
      <c r="J108" s="295"/>
      <c r="K108" s="295"/>
      <c r="L108" s="295"/>
      <c r="M108" s="295"/>
      <c r="N108" s="295"/>
      <c r="O108" s="295"/>
      <c r="P108" s="295"/>
      <c r="Q108" s="295"/>
      <c r="R108" s="133"/>
      <c r="S108" s="133"/>
      <c r="T108" s="133"/>
      <c r="U108" s="133"/>
      <c r="V108" s="133"/>
      <c r="W108" s="133"/>
      <c r="X108" s="133"/>
      <c r="Y108" s="133"/>
      <c r="Z108" s="133"/>
      <c r="AJ108" s="292"/>
      <c r="AK108" s="292"/>
      <c r="AL108" s="292"/>
      <c r="AM108" s="292"/>
      <c r="AN108" s="292"/>
    </row>
    <row r="109" spans="1:40" hidden="1" x14ac:dyDescent="0.25">
      <c r="A109" s="295"/>
      <c r="B109" s="289"/>
      <c r="C109" s="209"/>
      <c r="D109" s="187" t="e">
        <f t="shared" ref="D109:I109" si="63">SUM(D106:D108)</f>
        <v>#REF!</v>
      </c>
      <c r="E109" s="187" t="e">
        <f>SUM(E106:E108)</f>
        <v>#REF!</v>
      </c>
      <c r="F109" s="187" t="e">
        <f t="shared" si="63"/>
        <v>#REF!</v>
      </c>
      <c r="G109" s="187" t="e">
        <f t="shared" si="63"/>
        <v>#REF!</v>
      </c>
      <c r="H109" s="187" t="e">
        <f t="shared" si="63"/>
        <v>#REF!</v>
      </c>
      <c r="I109" s="187" t="e">
        <f t="shared" si="63"/>
        <v>#REF!</v>
      </c>
      <c r="J109" s="295"/>
      <c r="K109" s="295"/>
      <c r="L109" s="295"/>
      <c r="M109" s="295"/>
      <c r="N109" s="295"/>
      <c r="O109" s="295"/>
      <c r="P109" s="295"/>
      <c r="Q109" s="295"/>
      <c r="R109" s="133"/>
      <c r="S109" s="133"/>
      <c r="T109" s="133"/>
      <c r="U109" s="133"/>
      <c r="V109" s="133"/>
      <c r="W109" s="133"/>
      <c r="X109" s="133"/>
      <c r="Y109" s="133"/>
      <c r="Z109" s="133"/>
      <c r="AJ109" s="292"/>
      <c r="AK109" s="292"/>
      <c r="AL109" s="292"/>
      <c r="AM109" s="292"/>
      <c r="AN109" s="292"/>
    </row>
    <row r="110" spans="1:40" hidden="1" x14ac:dyDescent="0.25">
      <c r="A110" s="295"/>
      <c r="B110" s="312"/>
      <c r="C110" s="227"/>
      <c r="D110" s="291" t="s">
        <v>184</v>
      </c>
      <c r="E110" s="187" t="e">
        <f>E109-$D$109</f>
        <v>#REF!</v>
      </c>
      <c r="F110" s="187" t="e">
        <f>F109-$D$109</f>
        <v>#REF!</v>
      </c>
      <c r="G110" s="187" t="e">
        <f>G109-$D$109</f>
        <v>#REF!</v>
      </c>
      <c r="H110" s="187" t="e">
        <f>H109-$D$109</f>
        <v>#REF!</v>
      </c>
      <c r="I110" s="187" t="e">
        <f>I109-$D$109</f>
        <v>#REF!</v>
      </c>
      <c r="J110" s="295"/>
      <c r="K110" s="295"/>
      <c r="L110" s="295"/>
      <c r="M110" s="295"/>
      <c r="N110" s="295"/>
      <c r="O110" s="295"/>
      <c r="P110" s="295"/>
      <c r="Q110" s="295"/>
      <c r="R110" s="133"/>
      <c r="S110" s="133"/>
      <c r="T110" s="133"/>
      <c r="U110" s="133"/>
      <c r="V110" s="133"/>
      <c r="W110" s="133"/>
      <c r="X110" s="133"/>
      <c r="Y110" s="133"/>
      <c r="Z110" s="133"/>
      <c r="AJ110" s="292"/>
      <c r="AK110" s="292"/>
      <c r="AL110" s="292"/>
      <c r="AM110" s="292"/>
      <c r="AN110" s="292"/>
    </row>
    <row r="111" spans="1:40" hidden="1" x14ac:dyDescent="0.25">
      <c r="A111" s="295"/>
      <c r="B111" s="333"/>
      <c r="C111" s="404"/>
      <c r="D111" s="223"/>
      <c r="E111" s="223"/>
      <c r="F111" s="223"/>
      <c r="G111" s="223"/>
      <c r="H111" s="317"/>
      <c r="I111" s="317"/>
      <c r="J111" s="295"/>
      <c r="K111" s="295"/>
      <c r="L111" s="295"/>
      <c r="M111" s="295"/>
      <c r="N111" s="295"/>
      <c r="O111" s="295"/>
      <c r="P111" s="295"/>
      <c r="Q111" s="295"/>
      <c r="R111" s="133"/>
      <c r="S111" s="133"/>
      <c r="T111" s="133"/>
      <c r="U111" s="133"/>
      <c r="V111" s="133"/>
      <c r="W111" s="133"/>
      <c r="X111" s="133"/>
      <c r="Y111" s="133"/>
      <c r="Z111" s="133"/>
      <c r="AJ111" s="292"/>
      <c r="AK111" s="292"/>
      <c r="AL111" s="292"/>
      <c r="AM111" s="292"/>
      <c r="AN111" s="292"/>
    </row>
    <row r="112" spans="1:40" hidden="1" x14ac:dyDescent="0.25">
      <c r="A112" s="295"/>
      <c r="B112" s="403" t="s">
        <v>768</v>
      </c>
      <c r="C112" s="404"/>
      <c r="D112" s="404"/>
      <c r="E112" s="404"/>
      <c r="F112" s="404"/>
      <c r="G112" s="404"/>
      <c r="H112" s="404"/>
      <c r="I112" s="222"/>
      <c r="J112" s="295"/>
      <c r="K112" s="295"/>
      <c r="L112" s="295"/>
      <c r="M112" s="295"/>
      <c r="N112" s="295"/>
      <c r="O112" s="295"/>
      <c r="P112" s="295"/>
      <c r="Q112" s="295"/>
      <c r="R112" s="133"/>
      <c r="S112" s="133"/>
      <c r="T112" s="133"/>
      <c r="U112" s="133"/>
      <c r="V112" s="133"/>
      <c r="W112" s="133"/>
      <c r="X112" s="133"/>
      <c r="Y112" s="133"/>
      <c r="Z112" s="133"/>
      <c r="AJ112" s="292"/>
      <c r="AK112" s="292"/>
      <c r="AL112" s="292"/>
      <c r="AM112" s="292"/>
      <c r="AN112" s="292"/>
    </row>
    <row r="113" spans="1:40" ht="75" hidden="1" x14ac:dyDescent="0.25">
      <c r="A113" s="295"/>
      <c r="B113" s="285" t="s">
        <v>131</v>
      </c>
      <c r="C113" s="166" t="s">
        <v>769</v>
      </c>
      <c r="D113" s="434" t="s">
        <v>743</v>
      </c>
      <c r="E113" s="261" t="s">
        <v>51</v>
      </c>
      <c r="F113" s="261" t="s">
        <v>52</v>
      </c>
      <c r="G113" s="165" t="s">
        <v>744</v>
      </c>
      <c r="H113" s="165" t="s">
        <v>745</v>
      </c>
      <c r="I113" s="261" t="s">
        <v>746</v>
      </c>
      <c r="J113" s="295"/>
      <c r="K113" s="295"/>
      <c r="L113" s="295"/>
      <c r="M113" s="295"/>
      <c r="N113" s="295"/>
      <c r="O113" s="295"/>
      <c r="P113" s="295"/>
      <c r="Q113" s="295"/>
      <c r="R113" s="133"/>
      <c r="S113" s="133"/>
      <c r="T113" s="133"/>
      <c r="U113" s="133"/>
      <c r="V113" s="133"/>
      <c r="W113" s="133"/>
      <c r="X113" s="133"/>
      <c r="Y113" s="133"/>
      <c r="Z113" s="133"/>
      <c r="AJ113" s="292"/>
      <c r="AK113" s="292"/>
      <c r="AL113" s="292"/>
      <c r="AM113" s="292"/>
      <c r="AN113" s="292"/>
    </row>
    <row r="114" spans="1:40" hidden="1" x14ac:dyDescent="0.25">
      <c r="A114" s="295"/>
      <c r="B114" s="358" t="s">
        <v>1181</v>
      </c>
      <c r="C114" s="149">
        <f>'Inputs and eligible population'!F106</f>
        <v>0</v>
      </c>
      <c r="D114" s="128" t="e">
        <f>D$7*'Inputs and eligible population'!#REF!*'Unit costs'!$O$9*'Capacity (local prices) 3rd'!$C114</f>
        <v>#REF!</v>
      </c>
      <c r="E114" s="128" t="e">
        <f>E$7*'Inputs and eligible population'!#REF!*'Unit costs'!$O$9*'Capacity (local prices) 3rd'!$C114</f>
        <v>#REF!</v>
      </c>
      <c r="F114" s="128" t="e">
        <f>F$7*'Inputs and eligible population'!#REF!*'Unit costs'!$O$9*'Capacity (local prices) 3rd'!$C114</f>
        <v>#REF!</v>
      </c>
      <c r="G114" s="128" t="e">
        <f>G$7*'Inputs and eligible population'!#REF!*'Unit costs'!$O$9*'Capacity (local prices) 3rd'!$C114</f>
        <v>#REF!</v>
      </c>
      <c r="H114" s="128" t="e">
        <f>H$7*'Inputs and eligible population'!#REF!*'Unit costs'!$O$9*'Capacity (local prices) 3rd'!$C114</f>
        <v>#REF!</v>
      </c>
      <c r="I114" s="128" t="e">
        <f>I$7*'Inputs and eligible population'!#REF!*'Unit costs'!$O$9*'Capacity (local prices) 3rd'!$C114</f>
        <v>#REF!</v>
      </c>
      <c r="J114" s="295"/>
      <c r="K114" s="295"/>
      <c r="L114" s="223"/>
      <c r="M114" s="223"/>
      <c r="N114" s="295"/>
      <c r="O114" s="223"/>
      <c r="P114" s="223"/>
      <c r="Q114" s="223"/>
      <c r="R114" s="133"/>
      <c r="S114" s="133"/>
      <c r="T114" s="133"/>
      <c r="U114" s="133"/>
      <c r="V114" s="133"/>
      <c r="W114" s="133"/>
      <c r="X114" s="133"/>
      <c r="Y114" s="133"/>
      <c r="Z114" s="133"/>
      <c r="AJ114" s="292"/>
      <c r="AK114" s="292"/>
      <c r="AL114" s="292"/>
      <c r="AM114" s="292"/>
      <c r="AN114" s="292"/>
    </row>
    <row r="115" spans="1:40" hidden="1" x14ac:dyDescent="0.25">
      <c r="A115" s="295"/>
      <c r="B115" s="358" t="s">
        <v>1182</v>
      </c>
      <c r="C115" s="149">
        <f>'Inputs and eligible population'!H106</f>
        <v>0</v>
      </c>
      <c r="D115" s="128" t="e">
        <f>D$7*'Inputs and eligible population'!#REF!*'Unit costs'!$O$36*'Capacity (local prices) 3rd'!$C115</f>
        <v>#REF!</v>
      </c>
      <c r="E115" s="128" t="e">
        <f>E$7*'Inputs and eligible population'!#REF!*'Unit costs'!$O$36*'Capacity (local prices) 3rd'!$C115</f>
        <v>#REF!</v>
      </c>
      <c r="F115" s="128" t="e">
        <f>F$7*'Inputs and eligible population'!#REF!*'Unit costs'!$O$36*'Capacity (local prices) 3rd'!$C115</f>
        <v>#REF!</v>
      </c>
      <c r="G115" s="128" t="e">
        <f>G$7*'Inputs and eligible population'!#REF!*'Unit costs'!$O$36*'Capacity (local prices) 3rd'!$C115</f>
        <v>#REF!</v>
      </c>
      <c r="H115" s="128" t="e">
        <f>H$7*'Inputs and eligible population'!#REF!*'Unit costs'!$O$36*'Capacity (local prices) 3rd'!$C115</f>
        <v>#REF!</v>
      </c>
      <c r="I115" s="128" t="e">
        <f>I$7*'Inputs and eligible population'!#REF!*'Unit costs'!$O$36*'Capacity (local prices) 3rd'!$C115</f>
        <v>#REF!</v>
      </c>
      <c r="J115" s="295"/>
      <c r="K115" s="295"/>
      <c r="L115" s="223"/>
      <c r="M115" s="223"/>
      <c r="N115" s="295"/>
      <c r="O115" s="223"/>
      <c r="P115" s="223"/>
      <c r="Q115" s="223"/>
      <c r="R115" s="133"/>
      <c r="S115" s="133"/>
      <c r="T115" s="133"/>
      <c r="U115" s="133"/>
      <c r="V115" s="133"/>
      <c r="W115" s="133"/>
      <c r="X115" s="133"/>
      <c r="Y115" s="133"/>
      <c r="Z115" s="133"/>
      <c r="AJ115" s="292"/>
      <c r="AK115" s="292"/>
      <c r="AL115" s="292"/>
      <c r="AM115" s="292"/>
      <c r="AN115" s="292"/>
    </row>
    <row r="116" spans="1:40" hidden="1" x14ac:dyDescent="0.25">
      <c r="A116" s="295"/>
      <c r="B116" s="358" t="s">
        <v>1183</v>
      </c>
      <c r="C116" s="149">
        <f>'Inputs and eligible population'!I106</f>
        <v>0</v>
      </c>
      <c r="D116" s="128" t="e">
        <f>D$7*'Inputs and eligible population'!#REF!*'Unit costs'!$O$44*'Capacity (local prices) 3rd'!$C116</f>
        <v>#REF!</v>
      </c>
      <c r="E116" s="128" t="e">
        <f>E$7*'Inputs and eligible population'!#REF!*'Unit costs'!$O$44*'Capacity (local prices) 3rd'!$C116</f>
        <v>#REF!</v>
      </c>
      <c r="F116" s="128" t="e">
        <f>F$7*'Inputs and eligible population'!#REF!*'Unit costs'!$O$44*'Capacity (local prices) 3rd'!$C116</f>
        <v>#REF!</v>
      </c>
      <c r="G116" s="128" t="e">
        <f>G$7*'Inputs and eligible population'!#REF!*'Unit costs'!$O$44*'Capacity (local prices) 3rd'!$C116</f>
        <v>#REF!</v>
      </c>
      <c r="H116" s="128" t="e">
        <f>H$7*'Inputs and eligible population'!#REF!*'Unit costs'!$O$44*'Capacity (local prices) 3rd'!$C116</f>
        <v>#REF!</v>
      </c>
      <c r="I116" s="128" t="e">
        <f>I$7*'Inputs and eligible population'!#REF!*'Unit costs'!$O$44*'Capacity (local prices) 3rd'!$C116</f>
        <v>#REF!</v>
      </c>
      <c r="J116" s="295"/>
      <c r="K116" s="295"/>
      <c r="L116" s="223"/>
      <c r="M116" s="223"/>
      <c r="N116" s="295"/>
      <c r="O116" s="223"/>
      <c r="P116" s="223"/>
      <c r="Q116" s="223"/>
      <c r="R116" s="133"/>
      <c r="S116" s="133"/>
      <c r="T116" s="133"/>
      <c r="U116" s="133"/>
      <c r="V116" s="133"/>
      <c r="W116" s="133"/>
      <c r="X116" s="133"/>
      <c r="Y116" s="133"/>
      <c r="Z116" s="133"/>
      <c r="AJ116" s="292"/>
      <c r="AK116" s="292"/>
      <c r="AL116" s="292"/>
      <c r="AM116" s="292"/>
      <c r="AN116" s="292"/>
    </row>
    <row r="117" spans="1:40" hidden="1" x14ac:dyDescent="0.25">
      <c r="A117" s="295"/>
      <c r="B117" s="289"/>
      <c r="C117" s="209"/>
      <c r="D117" s="187" t="e">
        <f t="shared" ref="D117:I117" si="64">SUM(D114:D116)</f>
        <v>#REF!</v>
      </c>
      <c r="E117" s="187" t="e">
        <f t="shared" si="64"/>
        <v>#REF!</v>
      </c>
      <c r="F117" s="187" t="e">
        <f t="shared" si="64"/>
        <v>#REF!</v>
      </c>
      <c r="G117" s="187" t="e">
        <f t="shared" si="64"/>
        <v>#REF!</v>
      </c>
      <c r="H117" s="187" t="e">
        <f t="shared" si="64"/>
        <v>#REF!</v>
      </c>
      <c r="I117" s="187" t="e">
        <f t="shared" si="64"/>
        <v>#REF!</v>
      </c>
      <c r="J117" s="295"/>
      <c r="K117" s="295"/>
      <c r="L117" s="223"/>
      <c r="M117" s="223"/>
      <c r="N117" s="295"/>
      <c r="O117" s="223"/>
      <c r="P117" s="223"/>
      <c r="Q117" s="223"/>
      <c r="V117" s="133"/>
    </row>
    <row r="118" spans="1:40" hidden="1" x14ac:dyDescent="0.25">
      <c r="A118" s="295"/>
      <c r="B118" s="312"/>
      <c r="C118" s="227"/>
      <c r="D118" s="291" t="s">
        <v>185</v>
      </c>
      <c r="E118" s="187" t="e">
        <f>E117-$D$117</f>
        <v>#REF!</v>
      </c>
      <c r="F118" s="187" t="e">
        <f>F117-$D$117</f>
        <v>#REF!</v>
      </c>
      <c r="G118" s="187" t="e">
        <f>G117-$D$117</f>
        <v>#REF!</v>
      </c>
      <c r="H118" s="187" t="e">
        <f>H117-$D$117</f>
        <v>#REF!</v>
      </c>
      <c r="I118" s="187" t="e">
        <f>I117-$D$117</f>
        <v>#REF!</v>
      </c>
      <c r="J118" s="295"/>
      <c r="K118" s="295"/>
      <c r="L118" s="223"/>
      <c r="M118" s="223"/>
      <c r="N118" s="295"/>
      <c r="O118" s="223"/>
      <c r="P118" s="223"/>
      <c r="Q118" s="223"/>
      <c r="V118" s="133"/>
    </row>
    <row r="119" spans="1:40" hidden="1" x14ac:dyDescent="0.25">
      <c r="A119" s="295"/>
      <c r="B119" s="333"/>
      <c r="C119" s="404"/>
      <c r="D119" s="223"/>
      <c r="E119" s="223"/>
      <c r="F119" s="223"/>
      <c r="G119" s="223"/>
      <c r="H119" s="317"/>
      <c r="I119" s="317"/>
      <c r="J119" s="295"/>
      <c r="K119" s="295"/>
      <c r="L119" s="223"/>
      <c r="M119" s="223"/>
      <c r="N119" s="295"/>
      <c r="O119" s="223"/>
      <c r="P119" s="223"/>
      <c r="Q119" s="223"/>
      <c r="V119" s="133"/>
    </row>
    <row r="120" spans="1:40" hidden="1" x14ac:dyDescent="0.25">
      <c r="A120" s="295"/>
      <c r="B120" s="403" t="s">
        <v>770</v>
      </c>
      <c r="C120" s="404"/>
      <c r="D120" s="404"/>
      <c r="E120" s="404"/>
      <c r="F120" s="404"/>
      <c r="G120" s="404"/>
      <c r="H120" s="404"/>
      <c r="I120" s="222"/>
      <c r="J120" s="295"/>
      <c r="K120" s="295"/>
      <c r="L120" s="295"/>
      <c r="M120" s="295"/>
      <c r="N120" s="295"/>
      <c r="O120" s="295"/>
      <c r="P120" s="295"/>
      <c r="Q120" s="295"/>
      <c r="V120" s="133"/>
    </row>
    <row r="121" spans="1:40" ht="75" hidden="1" x14ac:dyDescent="0.25">
      <c r="A121" s="295"/>
      <c r="B121" s="285" t="s">
        <v>131</v>
      </c>
      <c r="C121" s="166" t="s">
        <v>771</v>
      </c>
      <c r="D121" s="434" t="s">
        <v>743</v>
      </c>
      <c r="E121" s="261" t="s">
        <v>51</v>
      </c>
      <c r="F121" s="261" t="s">
        <v>52</v>
      </c>
      <c r="G121" s="165" t="s">
        <v>744</v>
      </c>
      <c r="H121" s="165" t="s">
        <v>745</v>
      </c>
      <c r="I121" s="261" t="s">
        <v>746</v>
      </c>
      <c r="J121" s="295"/>
      <c r="K121" s="295"/>
      <c r="L121" s="434" t="s">
        <v>743</v>
      </c>
      <c r="M121" s="261" t="s">
        <v>51</v>
      </c>
      <c r="N121" s="261" t="s">
        <v>52</v>
      </c>
      <c r="O121" s="165" t="s">
        <v>744</v>
      </c>
      <c r="P121" s="165" t="s">
        <v>745</v>
      </c>
      <c r="Q121" s="261" t="s">
        <v>746</v>
      </c>
      <c r="V121" s="133"/>
    </row>
    <row r="122" spans="1:40" hidden="1" x14ac:dyDescent="0.25">
      <c r="A122" s="295"/>
      <c r="B122" s="358" t="s">
        <v>1181</v>
      </c>
      <c r="C122" s="149">
        <f>'Inputs and eligible population'!F107</f>
        <v>0</v>
      </c>
      <c r="D122" s="128" t="e">
        <f>(D$7*'Inputs and eligible population'!#REF!*'Unit costs'!$O$9*'Capacity (local prices) 3rd'!$C122)/60</f>
        <v>#REF!</v>
      </c>
      <c r="E122" s="128" t="e">
        <f>(E$7*'Inputs and eligible population'!#REF!*'Unit costs'!$O$9*'Capacity (local prices) 3rd'!$C122)/60</f>
        <v>#REF!</v>
      </c>
      <c r="F122" s="128" t="e">
        <f>(F$7*'Inputs and eligible population'!#REF!*'Unit costs'!$O$9*'Capacity (local prices) 3rd'!$C122)/60</f>
        <v>#REF!</v>
      </c>
      <c r="G122" s="128" t="e">
        <f>(G$7*'Inputs and eligible population'!#REF!*'Unit costs'!$O$9*'Capacity (local prices) 3rd'!$C122)/60</f>
        <v>#REF!</v>
      </c>
      <c r="H122" s="128" t="e">
        <f>(H$7*'Inputs and eligible population'!#REF!*'Unit costs'!$O$9*'Capacity (local prices) 3rd'!$C122)/60</f>
        <v>#REF!</v>
      </c>
      <c r="I122" s="128" t="e">
        <f>(I$7*'Inputs and eligible population'!#REF!*'Unit costs'!$O$9*'Capacity (local prices) 3rd'!$C122)/60</f>
        <v>#REF!</v>
      </c>
      <c r="J122" s="295"/>
      <c r="K122" s="295"/>
      <c r="L122" s="299" t="e">
        <f>(D122*'Inputs and eligible population'!$P$107)/1000</f>
        <v>#REF!</v>
      </c>
      <c r="M122" s="299" t="e">
        <f>(E122*'Inputs and eligible population'!$P$107)/1000</f>
        <v>#REF!</v>
      </c>
      <c r="N122" s="299" t="e">
        <f>(F122*'Inputs and eligible population'!$P$107)/1000</f>
        <v>#REF!</v>
      </c>
      <c r="O122" s="299" t="e">
        <f>(G122*'Inputs and eligible population'!$P$107)/1000</f>
        <v>#REF!</v>
      </c>
      <c r="P122" s="299" t="e">
        <f>(H122*'Inputs and eligible population'!$P$107)/1000</f>
        <v>#REF!</v>
      </c>
      <c r="Q122" s="299" t="e">
        <f>(I122*'Inputs and eligible population'!$P$107)/1000</f>
        <v>#REF!</v>
      </c>
      <c r="V122" s="133"/>
    </row>
    <row r="123" spans="1:40" hidden="1" x14ac:dyDescent="0.25">
      <c r="A123" s="295"/>
      <c r="B123" s="358" t="s">
        <v>1182</v>
      </c>
      <c r="C123" s="149">
        <f>'Inputs and eligible population'!H107</f>
        <v>0</v>
      </c>
      <c r="D123" s="128" t="e">
        <f>(D$7*'Inputs and eligible population'!#REF!*'Unit costs'!$O$36*'Capacity (local prices) 3rd'!$C123)/60</f>
        <v>#REF!</v>
      </c>
      <c r="E123" s="128" t="e">
        <f>(E$7*'Inputs and eligible population'!#REF!*'Unit costs'!$O$36*'Capacity (local prices) 3rd'!$C123)/60</f>
        <v>#REF!</v>
      </c>
      <c r="F123" s="128" t="e">
        <f>(F$7*'Inputs and eligible population'!#REF!*'Unit costs'!$O$36*'Capacity (local prices) 3rd'!$C123)/60</f>
        <v>#REF!</v>
      </c>
      <c r="G123" s="128" t="e">
        <f>(G$7*'Inputs and eligible population'!#REF!*'Unit costs'!$O$36*'Capacity (local prices) 3rd'!$C123)/60</f>
        <v>#REF!</v>
      </c>
      <c r="H123" s="128" t="e">
        <f>(H$7*'Inputs and eligible population'!#REF!*'Unit costs'!$O$36*'Capacity (local prices) 3rd'!$C123)/60</f>
        <v>#REF!</v>
      </c>
      <c r="I123" s="128" t="e">
        <f>(I$7*'Inputs and eligible population'!#REF!*'Unit costs'!$O$36*'Capacity (local prices) 3rd'!$C123)/60</f>
        <v>#REF!</v>
      </c>
      <c r="J123" s="295"/>
      <c r="K123" s="295"/>
      <c r="L123" s="299" t="e">
        <f>(D123*'Inputs and eligible population'!$P$107)/1000</f>
        <v>#REF!</v>
      </c>
      <c r="M123" s="299" t="e">
        <f>(E123*'Inputs and eligible population'!$P$107)/1000</f>
        <v>#REF!</v>
      </c>
      <c r="N123" s="299" t="e">
        <f>(F123*'Inputs and eligible population'!$P$107)/1000</f>
        <v>#REF!</v>
      </c>
      <c r="O123" s="299" t="e">
        <f>(G123*'Inputs and eligible population'!$P$107)/1000</f>
        <v>#REF!</v>
      </c>
      <c r="P123" s="299" t="e">
        <f>(H123*'Inputs and eligible population'!$P$107)/1000</f>
        <v>#REF!</v>
      </c>
      <c r="Q123" s="299" t="e">
        <f>(I123*'Inputs and eligible population'!$P$107)/1000</f>
        <v>#REF!</v>
      </c>
      <c r="V123" s="133"/>
    </row>
    <row r="124" spans="1:40" hidden="1" x14ac:dyDescent="0.25">
      <c r="A124" s="295"/>
      <c r="B124" s="358" t="s">
        <v>1183</v>
      </c>
      <c r="C124" s="149">
        <f>'Inputs and eligible population'!I107</f>
        <v>0</v>
      </c>
      <c r="D124" s="128" t="e">
        <f>(D$7*'Inputs and eligible population'!#REF!*'Unit costs'!$O$44*'Capacity (local prices) 3rd'!$C124)/60</f>
        <v>#REF!</v>
      </c>
      <c r="E124" s="128" t="e">
        <f>(E$7*'Inputs and eligible population'!#REF!*'Unit costs'!$O$44*'Capacity (local prices) 3rd'!$C124)/60</f>
        <v>#REF!</v>
      </c>
      <c r="F124" s="128" t="e">
        <f>(F$7*'Inputs and eligible population'!#REF!*'Unit costs'!$O$44*'Capacity (local prices) 3rd'!$C124)/60</f>
        <v>#REF!</v>
      </c>
      <c r="G124" s="128" t="e">
        <f>(G$7*'Inputs and eligible population'!#REF!*'Unit costs'!$O$44*'Capacity (local prices) 3rd'!$C124)/60</f>
        <v>#REF!</v>
      </c>
      <c r="H124" s="128" t="e">
        <f>(H$7*'Inputs and eligible population'!#REF!*'Unit costs'!$O$44*'Capacity (local prices) 3rd'!$C124)/60</f>
        <v>#REF!</v>
      </c>
      <c r="I124" s="128" t="e">
        <f>(I$7*'Inputs and eligible population'!#REF!*'Unit costs'!$O$44*'Capacity (local prices) 3rd'!$C124)/60</f>
        <v>#REF!</v>
      </c>
      <c r="J124" s="295"/>
      <c r="K124" s="295"/>
      <c r="L124" s="299" t="e">
        <f>(D124*'Inputs and eligible population'!$P$107)/1000</f>
        <v>#REF!</v>
      </c>
      <c r="M124" s="299" t="e">
        <f>(E124*'Inputs and eligible population'!$P$107)/1000</f>
        <v>#REF!</v>
      </c>
      <c r="N124" s="299" t="e">
        <f>(F124*'Inputs and eligible population'!$P$107)/1000</f>
        <v>#REF!</v>
      </c>
      <c r="O124" s="299" t="e">
        <f>(G124*'Inputs and eligible population'!$P$107)/1000</f>
        <v>#REF!</v>
      </c>
      <c r="P124" s="299" t="e">
        <f>(H124*'Inputs and eligible population'!$P$107)/1000</f>
        <v>#REF!</v>
      </c>
      <c r="Q124" s="299" t="e">
        <f>(I124*'Inputs and eligible population'!$P$107)/1000</f>
        <v>#REF!</v>
      </c>
      <c r="V124" s="133"/>
    </row>
    <row r="125" spans="1:40" hidden="1" x14ac:dyDescent="0.25">
      <c r="A125" s="295"/>
      <c r="B125" s="289"/>
      <c r="C125" s="209"/>
      <c r="D125" s="187" t="e">
        <f t="shared" ref="D125:I125" si="65">SUM(D122:D124)</f>
        <v>#REF!</v>
      </c>
      <c r="E125" s="187" t="e">
        <f t="shared" si="65"/>
        <v>#REF!</v>
      </c>
      <c r="F125" s="187" t="e">
        <f t="shared" si="65"/>
        <v>#REF!</v>
      </c>
      <c r="G125" s="187" t="e">
        <f t="shared" si="65"/>
        <v>#REF!</v>
      </c>
      <c r="H125" s="187" t="e">
        <f t="shared" si="65"/>
        <v>#REF!</v>
      </c>
      <c r="I125" s="187" t="e">
        <f t="shared" si="65"/>
        <v>#REF!</v>
      </c>
      <c r="J125" s="295"/>
      <c r="K125" s="295"/>
      <c r="L125" s="300" t="e">
        <f t="shared" ref="L125:Q125" si="66">SUM(L122:L124)</f>
        <v>#REF!</v>
      </c>
      <c r="M125" s="300" t="e">
        <f t="shared" si="66"/>
        <v>#REF!</v>
      </c>
      <c r="N125" s="300" t="e">
        <f t="shared" si="66"/>
        <v>#REF!</v>
      </c>
      <c r="O125" s="300" t="e">
        <f t="shared" si="66"/>
        <v>#REF!</v>
      </c>
      <c r="P125" s="300" t="e">
        <f t="shared" si="66"/>
        <v>#REF!</v>
      </c>
      <c r="Q125" s="300" t="e">
        <f t="shared" si="66"/>
        <v>#REF!</v>
      </c>
      <c r="V125" s="133"/>
    </row>
    <row r="126" spans="1:40" hidden="1" x14ac:dyDescent="0.25">
      <c r="A126" s="295"/>
      <c r="B126" s="312"/>
      <c r="C126" s="227"/>
      <c r="D126" s="291" t="s">
        <v>186</v>
      </c>
      <c r="E126" s="187" t="e">
        <f>E125-$D$125</f>
        <v>#REF!</v>
      </c>
      <c r="F126" s="187" t="e">
        <f>F125-$D$125</f>
        <v>#REF!</v>
      </c>
      <c r="G126" s="187" t="e">
        <f>G125-$D$125</f>
        <v>#REF!</v>
      </c>
      <c r="H126" s="187" t="e">
        <f>H125-$D$125</f>
        <v>#REF!</v>
      </c>
      <c r="I126" s="187" t="e">
        <f>I125-$D$125</f>
        <v>#REF!</v>
      </c>
      <c r="J126" s="295"/>
      <c r="K126" s="295"/>
      <c r="L126" s="590"/>
      <c r="M126" s="300" t="e">
        <f>M125-$L$125</f>
        <v>#REF!</v>
      </c>
      <c r="N126" s="300" t="e">
        <f>N125-$L$125</f>
        <v>#REF!</v>
      </c>
      <c r="O126" s="300" t="e">
        <f>O125-$L$125</f>
        <v>#REF!</v>
      </c>
      <c r="P126" s="300" t="e">
        <f>P125-$L$125</f>
        <v>#REF!</v>
      </c>
      <c r="Q126" s="300" t="e">
        <f>Q125-$L$125</f>
        <v>#REF!</v>
      </c>
      <c r="V126" s="133"/>
    </row>
    <row r="127" spans="1:40" hidden="1" x14ac:dyDescent="0.25">
      <c r="A127" s="295"/>
      <c r="B127" s="333"/>
      <c r="C127" s="404"/>
      <c r="D127" s="223"/>
      <c r="E127" s="223"/>
      <c r="F127" s="223"/>
      <c r="G127" s="223"/>
      <c r="H127" s="317"/>
      <c r="I127" s="317"/>
      <c r="J127" s="295"/>
      <c r="K127" s="295"/>
      <c r="L127" s="223"/>
      <c r="M127" s="223"/>
      <c r="N127" s="295"/>
      <c r="O127" s="223"/>
      <c r="P127" s="223"/>
      <c r="Q127" s="223"/>
      <c r="V127" s="133"/>
    </row>
    <row r="128" spans="1:40" hidden="1" x14ac:dyDescent="0.25">
      <c r="A128" s="295"/>
      <c r="B128" s="403" t="s">
        <v>772</v>
      </c>
      <c r="C128" s="404"/>
      <c r="D128" s="404"/>
      <c r="E128" s="404"/>
      <c r="F128" s="404"/>
      <c r="G128" s="404"/>
      <c r="H128" s="404"/>
      <c r="I128" s="222"/>
      <c r="J128" s="295"/>
      <c r="K128" s="295"/>
      <c r="L128" s="295"/>
      <c r="M128" s="295"/>
      <c r="N128" s="295"/>
      <c r="O128" s="295"/>
      <c r="P128" s="295"/>
      <c r="Q128" s="295"/>
      <c r="V128" s="133"/>
    </row>
    <row r="129" spans="1:40" ht="75" hidden="1" x14ac:dyDescent="0.25">
      <c r="A129" s="295"/>
      <c r="B129" s="285" t="s">
        <v>131</v>
      </c>
      <c r="C129" s="166" t="s">
        <v>773</v>
      </c>
      <c r="D129" s="434" t="s">
        <v>743</v>
      </c>
      <c r="E129" s="261" t="s">
        <v>51</v>
      </c>
      <c r="F129" s="261" t="s">
        <v>52</v>
      </c>
      <c r="G129" s="165" t="s">
        <v>744</v>
      </c>
      <c r="H129" s="165" t="s">
        <v>745</v>
      </c>
      <c r="I129" s="261" t="s">
        <v>746</v>
      </c>
      <c r="J129" s="295"/>
      <c r="K129" s="295"/>
      <c r="L129" s="434" t="s">
        <v>743</v>
      </c>
      <c r="M129" s="261" t="s">
        <v>51</v>
      </c>
      <c r="N129" s="261" t="s">
        <v>52</v>
      </c>
      <c r="O129" s="165" t="s">
        <v>744</v>
      </c>
      <c r="P129" s="165" t="s">
        <v>745</v>
      </c>
      <c r="Q129" s="261" t="s">
        <v>746</v>
      </c>
      <c r="V129" s="133"/>
    </row>
    <row r="130" spans="1:40" hidden="1" x14ac:dyDescent="0.25">
      <c r="A130" s="295"/>
      <c r="B130" s="358" t="s">
        <v>1181</v>
      </c>
      <c r="C130" s="149">
        <f>'Inputs and eligible population'!F108</f>
        <v>0</v>
      </c>
      <c r="D130" s="128" t="e">
        <f>(D$7*'Inputs and eligible population'!#REF!*'Unit costs'!$O$9*'Capacity (local prices) 3rd'!$C130)/60</f>
        <v>#REF!</v>
      </c>
      <c r="E130" s="128" t="e">
        <f>(E$7*'Inputs and eligible population'!#REF!*'Unit costs'!$O$9*'Capacity (local prices) 3rd'!$C130)/60</f>
        <v>#REF!</v>
      </c>
      <c r="F130" s="128" t="e">
        <f>(F$7*'Inputs and eligible population'!#REF!*'Unit costs'!$O$9*'Capacity (local prices) 3rd'!$C130)/60</f>
        <v>#REF!</v>
      </c>
      <c r="G130" s="128" t="e">
        <f>(G$7*'Inputs and eligible population'!#REF!*'Unit costs'!$O$9*'Capacity (local prices) 3rd'!$C130)/60</f>
        <v>#REF!</v>
      </c>
      <c r="H130" s="128" t="e">
        <f>(H$7*'Inputs and eligible population'!#REF!*'Unit costs'!$O$9*'Capacity (local prices) 3rd'!$C130)/60</f>
        <v>#REF!</v>
      </c>
      <c r="I130" s="128" t="e">
        <f>(I$7*'Inputs and eligible population'!#REF!*'Unit costs'!$O$9*'Capacity (local prices) 3rd'!$C130)/60</f>
        <v>#REF!</v>
      </c>
      <c r="J130" s="295"/>
      <c r="K130" s="295"/>
      <c r="L130" s="299" t="e">
        <f>(D130*'Inputs and eligible population'!$P$108)/1000</f>
        <v>#REF!</v>
      </c>
      <c r="M130" s="299" t="e">
        <f>(E130*'Inputs and eligible population'!$P$108)/1000</f>
        <v>#REF!</v>
      </c>
      <c r="N130" s="299" t="e">
        <f>(F130*'Inputs and eligible population'!$P$108)/1000</f>
        <v>#REF!</v>
      </c>
      <c r="O130" s="299" t="e">
        <f>(G130*'Inputs and eligible population'!$P$108)/1000</f>
        <v>#REF!</v>
      </c>
      <c r="P130" s="299" t="e">
        <f>(H130*'Inputs and eligible population'!$P$108)/1000</f>
        <v>#REF!</v>
      </c>
      <c r="Q130" s="299" t="e">
        <f>(I130*'Inputs and eligible population'!$P$108)/1000</f>
        <v>#REF!</v>
      </c>
      <c r="V130" s="133"/>
    </row>
    <row r="131" spans="1:40" hidden="1" x14ac:dyDescent="0.25">
      <c r="A131" s="295"/>
      <c r="B131" s="358" t="s">
        <v>1182</v>
      </c>
      <c r="C131" s="149">
        <f>'Inputs and eligible population'!H108</f>
        <v>0</v>
      </c>
      <c r="D131" s="128" t="e">
        <f>(D$7*'Inputs and eligible population'!#REF!*'Unit costs'!$O$36*'Capacity (local prices) 3rd'!$C131)/60</f>
        <v>#REF!</v>
      </c>
      <c r="E131" s="128" t="e">
        <f>(E$7*'Inputs and eligible population'!#REF!*'Unit costs'!$O$36*'Capacity (local prices) 3rd'!$C131)/60</f>
        <v>#REF!</v>
      </c>
      <c r="F131" s="128" t="e">
        <f>(F$7*'Inputs and eligible population'!#REF!*'Unit costs'!$O$36*'Capacity (local prices) 3rd'!$C131)/60</f>
        <v>#REF!</v>
      </c>
      <c r="G131" s="128" t="e">
        <f>(G$7*'Inputs and eligible population'!#REF!*'Unit costs'!$O$36*'Capacity (local prices) 3rd'!$C131)/60</f>
        <v>#REF!</v>
      </c>
      <c r="H131" s="128" t="e">
        <f>(H$7*'Inputs and eligible population'!#REF!*'Unit costs'!$O$36*'Capacity (local prices) 3rd'!$C131)/60</f>
        <v>#REF!</v>
      </c>
      <c r="I131" s="128" t="e">
        <f>(I$7*'Inputs and eligible population'!#REF!*'Unit costs'!$O$36*'Capacity (local prices) 3rd'!$C131)/60</f>
        <v>#REF!</v>
      </c>
      <c r="J131" s="295"/>
      <c r="K131" s="295"/>
      <c r="L131" s="299" t="e">
        <f>(D131*'Inputs and eligible population'!$P$108)/1000</f>
        <v>#REF!</v>
      </c>
      <c r="M131" s="299" t="e">
        <f>(E131*'Inputs and eligible population'!$P$108)/1000</f>
        <v>#REF!</v>
      </c>
      <c r="N131" s="299" t="e">
        <f>(F131*'Inputs and eligible population'!$P$108)/1000</f>
        <v>#REF!</v>
      </c>
      <c r="O131" s="299" t="e">
        <f>(G131*'Inputs and eligible population'!$P$108)/1000</f>
        <v>#REF!</v>
      </c>
      <c r="P131" s="299" t="e">
        <f>(H131*'Inputs and eligible population'!$P$108)/1000</f>
        <v>#REF!</v>
      </c>
      <c r="Q131" s="299" t="e">
        <f>(I131*'Inputs and eligible population'!$P$108)/1000</f>
        <v>#REF!</v>
      </c>
      <c r="V131" s="133"/>
    </row>
    <row r="132" spans="1:40" hidden="1" x14ac:dyDescent="0.25">
      <c r="A132" s="295"/>
      <c r="B132" s="358" t="s">
        <v>1183</v>
      </c>
      <c r="C132" s="149">
        <f>'Inputs and eligible population'!I108</f>
        <v>0</v>
      </c>
      <c r="D132" s="128" t="e">
        <f>(D$7*'Inputs and eligible population'!#REF!*'Unit costs'!$O$44*'Capacity (local prices) 3rd'!$C132)/60</f>
        <v>#REF!</v>
      </c>
      <c r="E132" s="128" t="e">
        <f>(E$7*'Inputs and eligible population'!#REF!*'Unit costs'!$O$44*'Capacity (local prices) 3rd'!$C132)/60</f>
        <v>#REF!</v>
      </c>
      <c r="F132" s="128" t="e">
        <f>(F$7*'Inputs and eligible population'!#REF!*'Unit costs'!$O$44*'Capacity (local prices) 3rd'!$C132)/60</f>
        <v>#REF!</v>
      </c>
      <c r="G132" s="128" t="e">
        <f>(G$7*'Inputs and eligible population'!#REF!*'Unit costs'!$O$44*'Capacity (local prices) 3rd'!$C132)/60</f>
        <v>#REF!</v>
      </c>
      <c r="H132" s="128" t="e">
        <f>(H$7*'Inputs and eligible population'!#REF!*'Unit costs'!$O$44*'Capacity (local prices) 3rd'!$C132)/60</f>
        <v>#REF!</v>
      </c>
      <c r="I132" s="128" t="e">
        <f>(I$7*'Inputs and eligible population'!#REF!*'Unit costs'!$O$44*'Capacity (local prices) 3rd'!$C132)/60</f>
        <v>#REF!</v>
      </c>
      <c r="J132" s="295"/>
      <c r="K132" s="295"/>
      <c r="L132" s="299" t="e">
        <f>(D132*'Inputs and eligible population'!$P$108)/1000</f>
        <v>#REF!</v>
      </c>
      <c r="M132" s="299" t="e">
        <f>(E132*'Inputs and eligible population'!$P$108)/1000</f>
        <v>#REF!</v>
      </c>
      <c r="N132" s="299" t="e">
        <f>(F132*'Inputs and eligible population'!$P$108)/1000</f>
        <v>#REF!</v>
      </c>
      <c r="O132" s="299" t="e">
        <f>(G132*'Inputs and eligible population'!$P$108)/1000</f>
        <v>#REF!</v>
      </c>
      <c r="P132" s="299" t="e">
        <f>(H132*'Inputs and eligible population'!$P$108)/1000</f>
        <v>#REF!</v>
      </c>
      <c r="Q132" s="299" t="e">
        <f>(I132*'Inputs and eligible population'!$P$108)/1000</f>
        <v>#REF!</v>
      </c>
      <c r="V132" s="133"/>
    </row>
    <row r="133" spans="1:40" hidden="1" x14ac:dyDescent="0.25">
      <c r="A133" s="295"/>
      <c r="B133" s="289"/>
      <c r="C133" s="209"/>
      <c r="D133" s="187" t="e">
        <f t="shared" ref="D133:I133" si="67">SUM(D130:D132)</f>
        <v>#REF!</v>
      </c>
      <c r="E133" s="187" t="e">
        <f t="shared" si="67"/>
        <v>#REF!</v>
      </c>
      <c r="F133" s="187" t="e">
        <f t="shared" si="67"/>
        <v>#REF!</v>
      </c>
      <c r="G133" s="187" t="e">
        <f t="shared" si="67"/>
        <v>#REF!</v>
      </c>
      <c r="H133" s="187" t="e">
        <f t="shared" si="67"/>
        <v>#REF!</v>
      </c>
      <c r="I133" s="187" t="e">
        <f t="shared" si="67"/>
        <v>#REF!</v>
      </c>
      <c r="J133" s="295"/>
      <c r="K133" s="295"/>
      <c r="L133" s="300" t="e">
        <f t="shared" ref="L133:Q133" si="68">SUM(L130:L132)</f>
        <v>#REF!</v>
      </c>
      <c r="M133" s="300" t="e">
        <f t="shared" si="68"/>
        <v>#REF!</v>
      </c>
      <c r="N133" s="300" t="e">
        <f t="shared" si="68"/>
        <v>#REF!</v>
      </c>
      <c r="O133" s="300" t="e">
        <f t="shared" si="68"/>
        <v>#REF!</v>
      </c>
      <c r="P133" s="300" t="e">
        <f t="shared" si="68"/>
        <v>#REF!</v>
      </c>
      <c r="Q133" s="300" t="e">
        <f t="shared" si="68"/>
        <v>#REF!</v>
      </c>
      <c r="V133" s="133"/>
    </row>
    <row r="134" spans="1:40" hidden="1" x14ac:dyDescent="0.25">
      <c r="A134" s="295"/>
      <c r="B134" s="312"/>
      <c r="C134" s="227"/>
      <c r="D134" s="291" t="s">
        <v>187</v>
      </c>
      <c r="E134" s="187" t="e">
        <f>E133-$D$133</f>
        <v>#REF!</v>
      </c>
      <c r="F134" s="187" t="e">
        <f>F133-$D$133</f>
        <v>#REF!</v>
      </c>
      <c r="G134" s="187" t="e">
        <f>G133-$D$133</f>
        <v>#REF!</v>
      </c>
      <c r="H134" s="187" t="e">
        <f>H133-$D$133</f>
        <v>#REF!</v>
      </c>
      <c r="I134" s="187" t="e">
        <f>I133-$D$133</f>
        <v>#REF!</v>
      </c>
      <c r="J134" s="295"/>
      <c r="K134" s="295"/>
      <c r="L134" s="590"/>
      <c r="M134" s="300" t="e">
        <f>M133-$L$133</f>
        <v>#REF!</v>
      </c>
      <c r="N134" s="300" t="e">
        <f>N133-$L$133</f>
        <v>#REF!</v>
      </c>
      <c r="O134" s="300" t="e">
        <f>O133-$L$133</f>
        <v>#REF!</v>
      </c>
      <c r="P134" s="300" t="e">
        <f>P133-$L$133</f>
        <v>#REF!</v>
      </c>
      <c r="Q134" s="300" t="e">
        <f>Q133-$L$133</f>
        <v>#REF!</v>
      </c>
      <c r="V134" s="133"/>
    </row>
    <row r="135" spans="1:40" hidden="1" x14ac:dyDescent="0.25">
      <c r="A135" s="295"/>
      <c r="B135" s="333"/>
      <c r="C135" s="404"/>
      <c r="D135" s="223"/>
      <c r="E135" s="223"/>
      <c r="F135" s="223"/>
      <c r="G135" s="223"/>
      <c r="H135" s="317"/>
      <c r="I135" s="317"/>
      <c r="J135" s="295"/>
      <c r="K135" s="295"/>
      <c r="L135" s="223"/>
      <c r="M135" s="223"/>
      <c r="N135" s="295"/>
      <c r="O135" s="223"/>
      <c r="P135" s="223"/>
      <c r="Q135" s="223"/>
      <c r="V135" s="133"/>
    </row>
    <row r="136" spans="1:40" x14ac:dyDescent="0.25">
      <c r="A136" s="295"/>
      <c r="B136" s="403" t="s">
        <v>1315</v>
      </c>
      <c r="C136" s="404"/>
      <c r="D136" s="404"/>
      <c r="E136" s="404"/>
      <c r="F136" s="404"/>
      <c r="G136" s="404"/>
      <c r="H136" s="404"/>
      <c r="I136" s="222"/>
      <c r="J136" s="295"/>
      <c r="K136" s="295"/>
      <c r="L136" s="295"/>
      <c r="M136" s="295"/>
      <c r="N136" s="295"/>
      <c r="O136" s="295"/>
      <c r="P136" s="295"/>
      <c r="Q136" s="295"/>
      <c r="V136" s="133"/>
    </row>
    <row r="137" spans="1:40" ht="45" x14ac:dyDescent="0.25">
      <c r="A137" s="295"/>
      <c r="B137" s="285" t="s">
        <v>131</v>
      </c>
      <c r="C137" s="166" t="s">
        <v>96</v>
      </c>
      <c r="D137" s="434" t="s">
        <v>743</v>
      </c>
      <c r="E137" s="261" t="s">
        <v>51</v>
      </c>
      <c r="F137" s="261" t="s">
        <v>52</v>
      </c>
      <c r="G137" s="165" t="s">
        <v>744</v>
      </c>
      <c r="H137" s="165" t="s">
        <v>745</v>
      </c>
      <c r="I137" s="261" t="s">
        <v>746</v>
      </c>
      <c r="J137" s="295"/>
      <c r="K137" s="746" t="s">
        <v>1252</v>
      </c>
      <c r="L137" s="434" t="s">
        <v>743</v>
      </c>
      <c r="M137" s="261" t="s">
        <v>51</v>
      </c>
      <c r="N137" s="261" t="s">
        <v>52</v>
      </c>
      <c r="O137" s="165" t="s">
        <v>744</v>
      </c>
      <c r="P137" s="165" t="s">
        <v>745</v>
      </c>
      <c r="Q137" s="261" t="s">
        <v>746</v>
      </c>
      <c r="V137" s="133"/>
    </row>
    <row r="138" spans="1:40" x14ac:dyDescent="0.25">
      <c r="A138" s="295"/>
      <c r="B138" s="358" t="s">
        <v>1247</v>
      </c>
      <c r="C138" s="149">
        <f>'Inputs and eligible population'!K109</f>
        <v>0</v>
      </c>
      <c r="D138" s="128">
        <f>($C138*'Financial impact (cash)'!D39)/60</f>
        <v>0</v>
      </c>
      <c r="E138" s="128">
        <f>($C138*'Financial impact (cash)'!E39)/60</f>
        <v>0</v>
      </c>
      <c r="F138" s="128">
        <f>($C138*'Financial impact (cash)'!F39)/60</f>
        <v>0</v>
      </c>
      <c r="G138" s="128">
        <f>($C138*'Financial impact (cash)'!G39)/60</f>
        <v>0</v>
      </c>
      <c r="H138" s="128">
        <f>($C138*'Financial impact (cash)'!H39)/60</f>
        <v>0</v>
      </c>
      <c r="I138" s="128">
        <f>($C138*'Financial impact (cash)'!I39)/60</f>
        <v>0</v>
      </c>
      <c r="J138" s="295"/>
      <c r="K138" s="747">
        <f>'Inputs and eligible population'!$Q$109</f>
        <v>43.28</v>
      </c>
      <c r="L138" s="299">
        <f>K138*D138</f>
        <v>0</v>
      </c>
      <c r="M138" s="299">
        <f t="shared" ref="M138:Q138" si="69">L138*E138</f>
        <v>0</v>
      </c>
      <c r="N138" s="299">
        <f t="shared" si="69"/>
        <v>0</v>
      </c>
      <c r="O138" s="299">
        <f t="shared" si="69"/>
        <v>0</v>
      </c>
      <c r="P138" s="299">
        <f t="shared" si="69"/>
        <v>0</v>
      </c>
      <c r="Q138" s="299">
        <f t="shared" si="69"/>
        <v>0</v>
      </c>
      <c r="V138" s="133"/>
    </row>
    <row r="139" spans="1:40" x14ac:dyDescent="0.25">
      <c r="A139" s="295"/>
      <c r="B139" s="358" t="s">
        <v>1125</v>
      </c>
      <c r="C139" s="149">
        <f>'Inputs and eligible population'!L109</f>
        <v>0</v>
      </c>
      <c r="D139" s="128">
        <f>($C139*'Financial impact (cash)'!D40)/60</f>
        <v>0</v>
      </c>
      <c r="E139" s="128">
        <f>($C139*'Financial impact (cash)'!E40)/60</f>
        <v>0</v>
      </c>
      <c r="F139" s="128">
        <f>($C139*'Financial impact (cash)'!F40)/60</f>
        <v>0</v>
      </c>
      <c r="G139" s="128">
        <f>($C139*'Financial impact (cash)'!G40)/60</f>
        <v>0</v>
      </c>
      <c r="H139" s="128">
        <f>($C139*'Financial impact (cash)'!H40)/60</f>
        <v>0</v>
      </c>
      <c r="I139" s="128">
        <f>($C139*'Financial impact (cash)'!I40)/60</f>
        <v>0</v>
      </c>
      <c r="J139" s="295"/>
      <c r="K139" s="747">
        <f>'Inputs and eligible population'!$Q$109</f>
        <v>43.28</v>
      </c>
      <c r="L139" s="299">
        <f t="shared" ref="L139:L141" si="70">K139*D139</f>
        <v>0</v>
      </c>
      <c r="M139" s="299">
        <f t="shared" ref="M139:M141" si="71">L139*E139</f>
        <v>0</v>
      </c>
      <c r="N139" s="299">
        <f t="shared" ref="N139:N141" si="72">M139*F139</f>
        <v>0</v>
      </c>
      <c r="O139" s="299">
        <f t="shared" ref="O139:O141" si="73">N139*G139</f>
        <v>0</v>
      </c>
      <c r="P139" s="299">
        <f t="shared" ref="P139:P141" si="74">O139*H139</f>
        <v>0</v>
      </c>
      <c r="Q139" s="299">
        <f t="shared" ref="Q139:Q141" si="75">P139*I139</f>
        <v>0</v>
      </c>
      <c r="V139" s="133"/>
    </row>
    <row r="140" spans="1:40" x14ac:dyDescent="0.25">
      <c r="A140" s="295"/>
      <c r="B140" s="358" t="s">
        <v>1248</v>
      </c>
      <c r="C140" s="149">
        <f>'Inputs and eligible population'!M109</f>
        <v>0</v>
      </c>
      <c r="D140" s="128">
        <f>($C140*'Financial impact (cash)'!D41)/60</f>
        <v>0</v>
      </c>
      <c r="E140" s="128">
        <f>($C140*'Financial impact (cash)'!E41)/60</f>
        <v>0</v>
      </c>
      <c r="F140" s="128">
        <f>($C140*'Financial impact (cash)'!F41)/60</f>
        <v>0</v>
      </c>
      <c r="G140" s="128">
        <f>($C140*'Financial impact (cash)'!G41)/60</f>
        <v>0</v>
      </c>
      <c r="H140" s="128">
        <f>($C140*'Financial impact (cash)'!H41)/60</f>
        <v>0</v>
      </c>
      <c r="I140" s="128">
        <f>($C140*'Financial impact (cash)'!I41)/60</f>
        <v>0</v>
      </c>
      <c r="J140" s="295"/>
      <c r="K140" s="747">
        <f>'Inputs and eligible population'!$Q$109</f>
        <v>43.28</v>
      </c>
      <c r="L140" s="299">
        <f t="shared" si="70"/>
        <v>0</v>
      </c>
      <c r="M140" s="299">
        <f t="shared" si="71"/>
        <v>0</v>
      </c>
      <c r="N140" s="299">
        <f t="shared" si="72"/>
        <v>0</v>
      </c>
      <c r="O140" s="299">
        <f t="shared" si="73"/>
        <v>0</v>
      </c>
      <c r="P140" s="299">
        <f t="shared" si="74"/>
        <v>0</v>
      </c>
      <c r="Q140" s="299">
        <f t="shared" si="75"/>
        <v>0</v>
      </c>
      <c r="V140" s="133"/>
    </row>
    <row r="141" spans="1:40" x14ac:dyDescent="0.25">
      <c r="A141" s="295"/>
      <c r="B141" s="358" t="s">
        <v>1251</v>
      </c>
      <c r="C141" s="149">
        <f>'Inputs and eligible population'!N109</f>
        <v>0</v>
      </c>
      <c r="D141" s="128">
        <f>($C141*'Financial impact (cash)'!D42)/60</f>
        <v>0</v>
      </c>
      <c r="E141" s="128">
        <f>($C141*'Financial impact (cash)'!E42)/60</f>
        <v>0</v>
      </c>
      <c r="F141" s="128">
        <f>($C141*'Financial impact (cash)'!F42)/60</f>
        <v>0</v>
      </c>
      <c r="G141" s="128">
        <f>($C141*'Financial impact (cash)'!G42)/60</f>
        <v>0</v>
      </c>
      <c r="H141" s="128">
        <f>($C141*'Financial impact (cash)'!H42)/60</f>
        <v>0</v>
      </c>
      <c r="I141" s="128">
        <f>($C141*'Financial impact (cash)'!I42)/60</f>
        <v>0</v>
      </c>
      <c r="J141" s="295"/>
      <c r="K141" s="747">
        <f>'Inputs and eligible population'!$Q$109</f>
        <v>43.28</v>
      </c>
      <c r="L141" s="299">
        <f t="shared" si="70"/>
        <v>0</v>
      </c>
      <c r="M141" s="299">
        <f t="shared" si="71"/>
        <v>0</v>
      </c>
      <c r="N141" s="299">
        <f t="shared" si="72"/>
        <v>0</v>
      </c>
      <c r="O141" s="299">
        <f t="shared" si="73"/>
        <v>0</v>
      </c>
      <c r="P141" s="299">
        <f t="shared" si="74"/>
        <v>0</v>
      </c>
      <c r="Q141" s="299">
        <f t="shared" si="75"/>
        <v>0</v>
      </c>
      <c r="V141" s="133"/>
    </row>
    <row r="142" spans="1:40" x14ac:dyDescent="0.25">
      <c r="A142" s="295"/>
      <c r="B142" s="289"/>
      <c r="C142" s="209"/>
      <c r="D142" s="187">
        <f>SUM(D138:D141)</f>
        <v>0</v>
      </c>
      <c r="E142" s="187">
        <f t="shared" ref="E142:I142" si="76">SUM(E138:E141)</f>
        <v>0</v>
      </c>
      <c r="F142" s="187">
        <f t="shared" si="76"/>
        <v>0</v>
      </c>
      <c r="G142" s="187">
        <f t="shared" si="76"/>
        <v>0</v>
      </c>
      <c r="H142" s="187">
        <f t="shared" si="76"/>
        <v>0</v>
      </c>
      <c r="I142" s="187">
        <f t="shared" si="76"/>
        <v>0</v>
      </c>
      <c r="J142" s="295"/>
      <c r="K142" s="295"/>
      <c r="L142" s="300">
        <f>SUM(L138:L141)</f>
        <v>0</v>
      </c>
      <c r="M142" s="300">
        <f t="shared" ref="M142:Q142" si="77">SUM(M138:M141)</f>
        <v>0</v>
      </c>
      <c r="N142" s="300">
        <f t="shared" si="77"/>
        <v>0</v>
      </c>
      <c r="O142" s="300">
        <f t="shared" si="77"/>
        <v>0</v>
      </c>
      <c r="P142" s="300">
        <f t="shared" si="77"/>
        <v>0</v>
      </c>
      <c r="Q142" s="300">
        <f t="shared" si="77"/>
        <v>0</v>
      </c>
      <c r="V142" s="133"/>
    </row>
    <row r="143" spans="1:40" x14ac:dyDescent="0.25">
      <c r="A143" s="295"/>
      <c r="B143" s="312"/>
      <c r="C143" s="227"/>
      <c r="D143" s="291" t="s">
        <v>188</v>
      </c>
      <c r="E143" s="187">
        <f>E142-$D$142</f>
        <v>0</v>
      </c>
      <c r="F143" s="187">
        <f>F142-$D$142</f>
        <v>0</v>
      </c>
      <c r="G143" s="187">
        <f>G142-$D$142</f>
        <v>0</v>
      </c>
      <c r="H143" s="187">
        <f>H142-$D$142</f>
        <v>0</v>
      </c>
      <c r="I143" s="187">
        <f>I142-$D$142</f>
        <v>0</v>
      </c>
      <c r="J143" s="295"/>
      <c r="K143" s="295"/>
      <c r="L143" s="590"/>
      <c r="M143" s="300">
        <f>M142-$L$142</f>
        <v>0</v>
      </c>
      <c r="N143" s="300">
        <f>N142-$L$142</f>
        <v>0</v>
      </c>
      <c r="O143" s="300">
        <f>O142-$L$142</f>
        <v>0</v>
      </c>
      <c r="P143" s="300">
        <f>P142-$L$142</f>
        <v>0</v>
      </c>
      <c r="Q143" s="300">
        <f>Q142-$L$142</f>
        <v>0</v>
      </c>
      <c r="V143" s="133"/>
    </row>
    <row r="144" spans="1:40" x14ac:dyDescent="0.25">
      <c r="A144" s="295"/>
      <c r="B144" s="333"/>
      <c r="C144" s="404"/>
      <c r="D144" s="223"/>
      <c r="E144" s="223"/>
      <c r="F144" s="223"/>
      <c r="G144" s="223"/>
      <c r="H144" s="223"/>
      <c r="I144" s="223"/>
      <c r="J144" s="223"/>
      <c r="K144" s="223"/>
      <c r="L144" s="223"/>
      <c r="M144" s="223"/>
      <c r="N144" s="223"/>
      <c r="O144" s="223"/>
      <c r="P144" s="223"/>
      <c r="Q144" s="223"/>
      <c r="R144" s="133"/>
      <c r="S144" s="133"/>
      <c r="T144" s="133"/>
      <c r="U144" s="133"/>
      <c r="V144" s="133"/>
      <c r="W144" s="133"/>
      <c r="X144" s="133"/>
      <c r="Y144" s="133"/>
      <c r="Z144" s="133"/>
      <c r="AJ144" s="292"/>
      <c r="AK144" s="292"/>
      <c r="AL144" s="292"/>
      <c r="AM144" s="292"/>
      <c r="AN144" s="292"/>
    </row>
    <row r="145" spans="1:40" x14ac:dyDescent="0.25">
      <c r="A145" s="338"/>
      <c r="B145" s="339" t="s">
        <v>774</v>
      </c>
      <c r="C145" s="340"/>
      <c r="D145" s="340"/>
      <c r="E145" s="341"/>
      <c r="F145" s="342"/>
      <c r="G145" s="343"/>
      <c r="H145" s="343"/>
      <c r="I145" s="397"/>
      <c r="J145" s="338"/>
      <c r="K145" s="338"/>
      <c r="L145" s="338"/>
      <c r="M145" s="338"/>
      <c r="N145" s="338"/>
      <c r="O145" s="338"/>
      <c r="P145" s="338"/>
      <c r="Q145" s="418"/>
      <c r="R145" s="133"/>
      <c r="S145" s="133"/>
      <c r="T145" s="133"/>
      <c r="U145" s="133"/>
      <c r="V145" s="133"/>
      <c r="W145" s="133"/>
      <c r="X145" s="133"/>
      <c r="Y145" s="133"/>
      <c r="Z145" s="133"/>
      <c r="AJ145" s="292"/>
      <c r="AK145" s="292"/>
      <c r="AL145" s="292"/>
      <c r="AM145" s="292"/>
      <c r="AN145" s="292"/>
    </row>
    <row r="146" spans="1:40" x14ac:dyDescent="0.25">
      <c r="A146" s="338"/>
      <c r="B146" s="407" t="s">
        <v>100</v>
      </c>
      <c r="C146" s="408"/>
      <c r="D146" s="408"/>
      <c r="E146" s="408"/>
      <c r="F146" s="408"/>
      <c r="G146" s="408"/>
      <c r="H146" s="408"/>
      <c r="I146" s="344"/>
      <c r="J146" s="418"/>
      <c r="K146" s="418"/>
      <c r="L146" s="446"/>
      <c r="M146" s="446"/>
      <c r="N146" s="446"/>
      <c r="O146" s="446"/>
      <c r="P146" s="446"/>
      <c r="Q146" s="446"/>
      <c r="R146" s="133"/>
      <c r="S146" s="133"/>
      <c r="T146" s="133"/>
      <c r="U146" s="133"/>
      <c r="V146" s="133"/>
      <c r="W146" s="133"/>
      <c r="X146" s="133"/>
      <c r="Y146" s="133"/>
      <c r="Z146" s="133"/>
      <c r="AJ146" s="292"/>
      <c r="AK146" s="292"/>
      <c r="AL146" s="292"/>
      <c r="AM146" s="292"/>
      <c r="AN146" s="292"/>
    </row>
    <row r="147" spans="1:40" ht="45" x14ac:dyDescent="0.25">
      <c r="A147" s="338"/>
      <c r="B147" s="285" t="s">
        <v>131</v>
      </c>
      <c r="C147" s="166" t="s">
        <v>100</v>
      </c>
      <c r="D147" s="434" t="s">
        <v>743</v>
      </c>
      <c r="E147" s="261" t="s">
        <v>51</v>
      </c>
      <c r="F147" s="261" t="s">
        <v>52</v>
      </c>
      <c r="G147" s="165" t="s">
        <v>744</v>
      </c>
      <c r="H147" s="165" t="s">
        <v>745</v>
      </c>
      <c r="I147" s="261" t="s">
        <v>746</v>
      </c>
      <c r="J147" s="338"/>
      <c r="K147" s="746" t="s">
        <v>1252</v>
      </c>
      <c r="L147" s="434" t="s">
        <v>743</v>
      </c>
      <c r="M147" s="261" t="s">
        <v>51</v>
      </c>
      <c r="N147" s="261" t="s">
        <v>52</v>
      </c>
      <c r="O147" s="165" t="s">
        <v>744</v>
      </c>
      <c r="P147" s="165" t="s">
        <v>745</v>
      </c>
      <c r="Q147" s="261" t="s">
        <v>746</v>
      </c>
      <c r="R147" s="133"/>
      <c r="S147" s="133"/>
      <c r="T147" s="133"/>
      <c r="U147" s="133"/>
      <c r="V147" s="133"/>
      <c r="W147" s="133"/>
      <c r="X147" s="133"/>
      <c r="Y147" s="133"/>
      <c r="Z147" s="133"/>
      <c r="AJ147" s="292"/>
      <c r="AK147" s="292"/>
      <c r="AL147" s="292"/>
      <c r="AM147" s="292"/>
      <c r="AN147" s="292"/>
    </row>
    <row r="148" spans="1:40" x14ac:dyDescent="0.25">
      <c r="A148" s="338"/>
      <c r="B148" s="358" t="s">
        <v>1247</v>
      </c>
      <c r="C148" s="149">
        <f>'Inputs and eligible population'!K110</f>
        <v>0</v>
      </c>
      <c r="D148" s="128">
        <f>'Financial impact (cash)'!D$39*'Capacity (local prices) 3rd'!$C148</f>
        <v>0</v>
      </c>
      <c r="E148" s="128">
        <f>'Financial impact (cash)'!E$39*'Capacity (local prices) 3rd'!$C148</f>
        <v>0</v>
      </c>
      <c r="F148" s="128">
        <f>'Financial impact (cash)'!F$39*'Capacity (local prices) 3rd'!$C148</f>
        <v>0</v>
      </c>
      <c r="G148" s="128">
        <f>'Financial impact (cash)'!G$39*'Capacity (local prices) 3rd'!$C148</f>
        <v>0</v>
      </c>
      <c r="H148" s="128">
        <f>'Financial impact (cash)'!H$39*'Capacity (local prices) 3rd'!$C148</f>
        <v>0</v>
      </c>
      <c r="I148" s="128">
        <f>'Financial impact (cash)'!I$39*'Capacity (local prices) 3rd'!$C148</f>
        <v>0</v>
      </c>
      <c r="J148" s="338"/>
      <c r="K148" s="747">
        <f>'Inputs and eligible population'!$Q$111</f>
        <v>103.07</v>
      </c>
      <c r="L148" s="299">
        <f>(D148*'Inputs and eligible population'!$F$111/60*'Inputs and eligible population'!$Q$111)/1000</f>
        <v>0</v>
      </c>
      <c r="M148" s="299">
        <f>(E148*'Inputs and eligible population'!$F$111/60*'Inputs and eligible population'!$Q$111)/1000</f>
        <v>0</v>
      </c>
      <c r="N148" s="299">
        <f>(F148*'Inputs and eligible population'!$F$111/60*'Inputs and eligible population'!$Q$111)/1000</f>
        <v>0</v>
      </c>
      <c r="O148" s="299">
        <f>(G148*'Inputs and eligible population'!$F$111/60*'Inputs and eligible population'!$Q$111)/1000</f>
        <v>0</v>
      </c>
      <c r="P148" s="299">
        <f>(H148*'Inputs and eligible population'!$F$111/60*'Inputs and eligible population'!$Q$111)/1000</f>
        <v>0</v>
      </c>
      <c r="Q148" s="299">
        <f>(I148*'Inputs and eligible population'!$F$111/60*'Inputs and eligible population'!$Q$111)/1000</f>
        <v>0</v>
      </c>
      <c r="R148" s="133"/>
      <c r="S148" s="133"/>
      <c r="T148" s="133"/>
      <c r="U148" s="133"/>
      <c r="V148" s="133"/>
      <c r="W148" s="133"/>
      <c r="X148" s="133"/>
      <c r="Y148" s="133"/>
      <c r="Z148" s="133"/>
      <c r="AJ148" s="292"/>
      <c r="AK148" s="292"/>
      <c r="AL148" s="292"/>
      <c r="AM148" s="292"/>
      <c r="AN148" s="292"/>
    </row>
    <row r="149" spans="1:40" x14ac:dyDescent="0.25">
      <c r="A149" s="338"/>
      <c r="B149" s="358" t="s">
        <v>1125</v>
      </c>
      <c r="C149" s="149">
        <f>'Inputs and eligible population'!L110</f>
        <v>0</v>
      </c>
      <c r="D149" s="128">
        <f>'Financial impact (cash)'!D$40*'Capacity (local prices) 3rd'!$C149</f>
        <v>0</v>
      </c>
      <c r="E149" s="128">
        <f>'Financial impact (cash)'!E$40*'Capacity (local prices) 3rd'!$C149</f>
        <v>0</v>
      </c>
      <c r="F149" s="128">
        <f>'Financial impact (cash)'!F$40*'Capacity (local prices) 3rd'!$C149</f>
        <v>0</v>
      </c>
      <c r="G149" s="128">
        <f>'Financial impact (cash)'!G$40*'Capacity (local prices) 3rd'!$C149</f>
        <v>0</v>
      </c>
      <c r="H149" s="128">
        <f>'Financial impact (cash)'!H$40*'Capacity (local prices) 3rd'!$C149</f>
        <v>0</v>
      </c>
      <c r="I149" s="128">
        <f>'Financial impact (cash)'!I$40*'Capacity (local prices) 3rd'!$C149</f>
        <v>0</v>
      </c>
      <c r="J149" s="338"/>
      <c r="K149" s="747">
        <f>'Inputs and eligible population'!$Q$111</f>
        <v>103.07</v>
      </c>
      <c r="L149" s="299">
        <f>(D149*'Inputs and eligible population'!$G$111/60*'Inputs and eligible population'!$Q$111)/1000</f>
        <v>0</v>
      </c>
      <c r="M149" s="299">
        <f>(E149*'Inputs and eligible population'!$G$111/60*'Inputs and eligible population'!$Q$111)/1000</f>
        <v>0</v>
      </c>
      <c r="N149" s="299">
        <f>(F149*'Inputs and eligible population'!$G$111/60*'Inputs and eligible population'!$Q$111)/1000</f>
        <v>0</v>
      </c>
      <c r="O149" s="299">
        <f>(G149*'Inputs and eligible population'!$G$111/60*'Inputs and eligible population'!$Q$111)/1000</f>
        <v>0</v>
      </c>
      <c r="P149" s="299">
        <f>(H149*'Inputs and eligible population'!$G$111/60*'Inputs and eligible population'!$Q$111)/1000</f>
        <v>0</v>
      </c>
      <c r="Q149" s="299">
        <f>(I149*'Inputs and eligible population'!$G$111/60*'Inputs and eligible population'!$Q$111)/1000</f>
        <v>0</v>
      </c>
      <c r="R149" s="133"/>
      <c r="S149" s="133"/>
      <c r="T149" s="133"/>
      <c r="U149" s="133"/>
      <c r="V149" s="133"/>
      <c r="W149" s="133"/>
      <c r="X149" s="133"/>
      <c r="Y149" s="133"/>
      <c r="Z149" s="133"/>
      <c r="AJ149" s="292"/>
      <c r="AK149" s="292"/>
      <c r="AL149" s="292"/>
      <c r="AM149" s="292"/>
      <c r="AN149" s="292"/>
    </row>
    <row r="150" spans="1:40" x14ac:dyDescent="0.25">
      <c r="A150" s="338"/>
      <c r="B150" s="358" t="s">
        <v>1248</v>
      </c>
      <c r="C150" s="149">
        <f>'Inputs and eligible population'!M110</f>
        <v>0</v>
      </c>
      <c r="D150" s="128">
        <f>'Financial impact (cash)'!D$41*'Capacity (local prices) 3rd'!$C150</f>
        <v>0</v>
      </c>
      <c r="E150" s="128">
        <f>'Financial impact (cash)'!E$41*'Capacity (local prices) 3rd'!$C150</f>
        <v>0</v>
      </c>
      <c r="F150" s="128">
        <f>'Financial impact (cash)'!F$41*'Capacity (local prices) 3rd'!$C150</f>
        <v>0</v>
      </c>
      <c r="G150" s="128">
        <f>'Financial impact (cash)'!G$41*'Capacity (local prices) 3rd'!$C150</f>
        <v>0</v>
      </c>
      <c r="H150" s="128">
        <f>'Financial impact (cash)'!H$41*'Capacity (local prices) 3rd'!$C150</f>
        <v>0</v>
      </c>
      <c r="I150" s="128">
        <f>'Financial impact (cash)'!I$41*'Capacity (local prices) 3rd'!$C150</f>
        <v>0</v>
      </c>
      <c r="J150" s="338"/>
      <c r="K150" s="747">
        <f>'Inputs and eligible population'!$Q$111</f>
        <v>103.07</v>
      </c>
      <c r="L150" s="299">
        <f>(D150*'Inputs and eligible population'!$H$111/60*'Inputs and eligible population'!$Q$111)/1000</f>
        <v>0</v>
      </c>
      <c r="M150" s="299">
        <f>(E150*'Inputs and eligible population'!$H$111/60*'Inputs and eligible population'!$Q$111)/1000</f>
        <v>0</v>
      </c>
      <c r="N150" s="299">
        <f>(F150*'Inputs and eligible population'!$H$111/60*'Inputs and eligible population'!$Q$111)/1000</f>
        <v>0</v>
      </c>
      <c r="O150" s="299">
        <f>(G150*'Inputs and eligible population'!$H$111/60*'Inputs and eligible population'!$Q$111)/1000</f>
        <v>0</v>
      </c>
      <c r="P150" s="299">
        <f>(H150*'Inputs and eligible population'!$H$111/60*'Inputs and eligible population'!$Q$111)/1000</f>
        <v>0</v>
      </c>
      <c r="Q150" s="299">
        <f>(I150*'Inputs and eligible population'!$H$111/60*'Inputs and eligible population'!$Q$111)/1000</f>
        <v>0</v>
      </c>
      <c r="R150" s="133"/>
      <c r="S150" s="133"/>
      <c r="T150" s="133"/>
      <c r="U150" s="133"/>
      <c r="V150" s="133"/>
      <c r="W150" s="133"/>
      <c r="X150" s="133"/>
      <c r="Y150" s="133"/>
      <c r="Z150" s="133"/>
      <c r="AJ150" s="292"/>
      <c r="AK150" s="292"/>
      <c r="AL150" s="292"/>
      <c r="AM150" s="292"/>
      <c r="AN150" s="292"/>
    </row>
    <row r="151" spans="1:40" x14ac:dyDescent="0.25">
      <c r="A151" s="338"/>
      <c r="B151" s="358" t="s">
        <v>1251</v>
      </c>
      <c r="C151" s="149">
        <f>'Inputs and eligible population'!N110</f>
        <v>0</v>
      </c>
      <c r="D151" s="128">
        <f>'Financial impact (cash)'!D$42*'Capacity (local prices) 3rd'!$C151</f>
        <v>0</v>
      </c>
      <c r="E151" s="128">
        <f>'Financial impact (cash)'!E$42*'Capacity (local prices) 3rd'!$C151</f>
        <v>0</v>
      </c>
      <c r="F151" s="128">
        <f>'Financial impact (cash)'!F$42*'Capacity (local prices) 3rd'!$C151</f>
        <v>0</v>
      </c>
      <c r="G151" s="128">
        <f>'Financial impact (cash)'!G$42*'Capacity (local prices) 3rd'!$C151</f>
        <v>0</v>
      </c>
      <c r="H151" s="128">
        <f>'Financial impact (cash)'!H$42*'Capacity (local prices) 3rd'!$C151</f>
        <v>0</v>
      </c>
      <c r="I151" s="128">
        <f>'Financial impact (cash)'!I$42*'Capacity (local prices) 3rd'!$C151</f>
        <v>0</v>
      </c>
      <c r="J151" s="338"/>
      <c r="K151" s="747">
        <f>'Inputs and eligible population'!$Q$111</f>
        <v>103.07</v>
      </c>
      <c r="L151" s="299">
        <f>(D151*'Inputs and eligible population'!$I$111/60*'Inputs and eligible population'!$Q$111)/1000</f>
        <v>0</v>
      </c>
      <c r="M151" s="299">
        <f>(E151*'Inputs and eligible population'!$I$111/60*'Inputs and eligible population'!$Q$111)/1000</f>
        <v>0</v>
      </c>
      <c r="N151" s="299">
        <f>(F151*'Inputs and eligible population'!$I$111/60*'Inputs and eligible population'!$Q$111)/1000</f>
        <v>0</v>
      </c>
      <c r="O151" s="299">
        <f>(G151*'Inputs and eligible population'!$I$111/60*'Inputs and eligible population'!$Q$111)/1000</f>
        <v>0</v>
      </c>
      <c r="P151" s="299">
        <f>(H151*'Inputs and eligible population'!$I$111/60*'Inputs and eligible population'!$Q$111)/1000</f>
        <v>0</v>
      </c>
      <c r="Q151" s="299">
        <f>(I151*'Inputs and eligible population'!$I$111/60*'Inputs and eligible population'!$Q$111)/1000</f>
        <v>0</v>
      </c>
      <c r="R151" s="133"/>
      <c r="S151" s="133"/>
      <c r="T151" s="133"/>
      <c r="U151" s="133"/>
      <c r="V151" s="133"/>
      <c r="W151" s="133"/>
      <c r="X151" s="133"/>
      <c r="Y151" s="133"/>
      <c r="Z151" s="133"/>
      <c r="AJ151" s="292"/>
      <c r="AK151" s="292"/>
      <c r="AL151" s="292"/>
      <c r="AM151" s="292"/>
      <c r="AN151" s="292"/>
    </row>
    <row r="152" spans="1:40" x14ac:dyDescent="0.25">
      <c r="A152" s="338"/>
      <c r="B152" s="289"/>
      <c r="C152" s="209"/>
      <c r="D152" s="187">
        <f t="shared" ref="D152:I152" si="78">SUM(D148:D151)</f>
        <v>0</v>
      </c>
      <c r="E152" s="187">
        <f t="shared" si="78"/>
        <v>0</v>
      </c>
      <c r="F152" s="187">
        <f t="shared" si="78"/>
        <v>0</v>
      </c>
      <c r="G152" s="187">
        <f t="shared" si="78"/>
        <v>0</v>
      </c>
      <c r="H152" s="187">
        <f t="shared" si="78"/>
        <v>0</v>
      </c>
      <c r="I152" s="187">
        <f t="shared" si="78"/>
        <v>0</v>
      </c>
      <c r="J152" s="338"/>
      <c r="K152" s="338"/>
      <c r="L152" s="300">
        <f t="shared" ref="L152:Q152" si="79">SUM(L148:L151)</f>
        <v>0</v>
      </c>
      <c r="M152" s="300">
        <f t="shared" si="79"/>
        <v>0</v>
      </c>
      <c r="N152" s="300">
        <f t="shared" si="79"/>
        <v>0</v>
      </c>
      <c r="O152" s="300">
        <f t="shared" si="79"/>
        <v>0</v>
      </c>
      <c r="P152" s="300">
        <f t="shared" si="79"/>
        <v>0</v>
      </c>
      <c r="Q152" s="300">
        <f t="shared" si="79"/>
        <v>0</v>
      </c>
      <c r="R152" s="133"/>
      <c r="S152" s="133"/>
      <c r="T152" s="133"/>
      <c r="U152" s="133"/>
      <c r="V152" s="133"/>
      <c r="W152" s="133"/>
      <c r="X152" s="133"/>
      <c r="Y152" s="133"/>
      <c r="Z152" s="133"/>
      <c r="AJ152" s="292"/>
      <c r="AK152" s="292"/>
      <c r="AL152" s="292"/>
      <c r="AM152" s="292"/>
      <c r="AN152" s="292"/>
    </row>
    <row r="153" spans="1:40" x14ac:dyDescent="0.25">
      <c r="A153" s="338"/>
      <c r="B153" s="312"/>
      <c r="C153" s="262"/>
      <c r="D153" s="291" t="s">
        <v>775</v>
      </c>
      <c r="E153" s="187">
        <f>E152-$D$152</f>
        <v>0</v>
      </c>
      <c r="F153" s="187">
        <f>F152-$D$152</f>
        <v>0</v>
      </c>
      <c r="G153" s="187">
        <f>G152-$D$152</f>
        <v>0</v>
      </c>
      <c r="H153" s="187">
        <f>H152-$D$152</f>
        <v>0</v>
      </c>
      <c r="I153" s="187">
        <f>I152-$D$152</f>
        <v>0</v>
      </c>
      <c r="J153" s="338"/>
      <c r="K153" s="338"/>
      <c r="L153" s="591"/>
      <c r="M153" s="300">
        <f>M152-$L$152</f>
        <v>0</v>
      </c>
      <c r="N153" s="300">
        <f t="shared" ref="N153:P153" si="80">N152-$L$152</f>
        <v>0</v>
      </c>
      <c r="O153" s="300">
        <f t="shared" si="80"/>
        <v>0</v>
      </c>
      <c r="P153" s="300">
        <f t="shared" si="80"/>
        <v>0</v>
      </c>
      <c r="Q153" s="300">
        <f>Q152-$L$152</f>
        <v>0</v>
      </c>
      <c r="V153" s="133"/>
    </row>
    <row r="154" spans="1:40" x14ac:dyDescent="0.25">
      <c r="A154" s="338"/>
      <c r="B154" s="338"/>
      <c r="C154" s="338"/>
      <c r="D154" s="338"/>
      <c r="E154" s="338"/>
      <c r="F154" s="338"/>
      <c r="G154" s="338"/>
      <c r="H154" s="338"/>
      <c r="I154" s="338"/>
      <c r="J154" s="338"/>
      <c r="K154" s="338"/>
      <c r="L154" s="338"/>
      <c r="M154" s="338"/>
      <c r="N154" s="338"/>
      <c r="O154" s="338"/>
      <c r="P154" s="338"/>
      <c r="Q154" s="338"/>
      <c r="V154" s="133"/>
    </row>
    <row r="155" spans="1:40" x14ac:dyDescent="0.25">
      <c r="A155" s="296"/>
      <c r="B155" s="334" t="s">
        <v>776</v>
      </c>
      <c r="C155" s="318"/>
      <c r="D155" s="319"/>
      <c r="E155" s="320"/>
      <c r="F155" s="321"/>
      <c r="G155" s="321"/>
      <c r="H155" s="321"/>
      <c r="I155" s="447"/>
      <c r="J155" s="296"/>
      <c r="K155" s="296"/>
      <c r="L155" s="296"/>
      <c r="M155" s="296"/>
      <c r="N155" s="296"/>
      <c r="O155" s="296"/>
      <c r="P155" s="296"/>
      <c r="Q155" s="225"/>
      <c r="R155" s="133"/>
      <c r="S155" s="133"/>
      <c r="T155" s="133"/>
      <c r="U155" s="133"/>
      <c r="V155" s="133"/>
      <c r="W155" s="133"/>
      <c r="X155" s="133"/>
      <c r="Y155" s="133"/>
      <c r="Z155" s="133"/>
      <c r="AJ155" s="292"/>
      <c r="AK155" s="292"/>
      <c r="AL155" s="292"/>
      <c r="AM155" s="292"/>
      <c r="AN155" s="292"/>
    </row>
    <row r="156" spans="1:40" x14ac:dyDescent="0.25">
      <c r="A156" s="296"/>
      <c r="B156" s="409" t="s">
        <v>1164</v>
      </c>
      <c r="C156" s="410"/>
      <c r="D156" s="410"/>
      <c r="E156" s="410"/>
      <c r="F156" s="410"/>
      <c r="G156" s="410"/>
      <c r="H156" s="410"/>
      <c r="I156" s="224"/>
      <c r="J156" s="225"/>
      <c r="K156" s="225"/>
      <c r="L156" s="443"/>
      <c r="M156" s="443"/>
      <c r="N156" s="443"/>
      <c r="O156" s="443"/>
      <c r="P156" s="443"/>
      <c r="Q156" s="443"/>
      <c r="R156" s="133"/>
      <c r="S156" s="133"/>
      <c r="T156" s="133"/>
      <c r="U156" s="133"/>
      <c r="V156" s="133"/>
      <c r="W156" s="133"/>
      <c r="X156" s="133"/>
      <c r="Y156" s="133"/>
      <c r="Z156" s="133"/>
      <c r="AJ156" s="292"/>
      <c r="AK156" s="292"/>
      <c r="AL156" s="292"/>
      <c r="AM156" s="292"/>
      <c r="AN156" s="292"/>
    </row>
    <row r="157" spans="1:40" ht="45" x14ac:dyDescent="0.25">
      <c r="A157" s="296"/>
      <c r="B157" s="285" t="s">
        <v>131</v>
      </c>
      <c r="C157" s="166" t="s">
        <v>1164</v>
      </c>
      <c r="D157" s="434" t="s">
        <v>743</v>
      </c>
      <c r="E157" s="261" t="s">
        <v>51</v>
      </c>
      <c r="F157" s="261" t="s">
        <v>52</v>
      </c>
      <c r="G157" s="165" t="s">
        <v>744</v>
      </c>
      <c r="H157" s="165" t="s">
        <v>745</v>
      </c>
      <c r="I157" s="261" t="s">
        <v>746</v>
      </c>
      <c r="J157" s="296"/>
      <c r="K157" s="746" t="s">
        <v>1252</v>
      </c>
      <c r="L157" s="434" t="s">
        <v>743</v>
      </c>
      <c r="M157" s="261" t="s">
        <v>51</v>
      </c>
      <c r="N157" s="261" t="s">
        <v>52</v>
      </c>
      <c r="O157" s="165" t="s">
        <v>744</v>
      </c>
      <c r="P157" s="165" t="s">
        <v>745</v>
      </c>
      <c r="Q157" s="261" t="s">
        <v>746</v>
      </c>
      <c r="R157" s="133"/>
      <c r="S157" s="133"/>
      <c r="T157" s="133"/>
      <c r="U157" s="133"/>
      <c r="V157" s="133"/>
      <c r="W157" s="133"/>
      <c r="X157" s="133"/>
      <c r="Y157" s="133"/>
      <c r="Z157" s="133"/>
      <c r="AJ157" s="292"/>
      <c r="AK157" s="292"/>
      <c r="AL157" s="292"/>
      <c r="AM157" s="292"/>
      <c r="AN157" s="292"/>
    </row>
    <row r="158" spans="1:40" x14ac:dyDescent="0.25">
      <c r="A158" s="296"/>
      <c r="B158" s="358" t="s">
        <v>1247</v>
      </c>
      <c r="C158" s="149">
        <f>'Inputs and eligible population'!K112</f>
        <v>10.92</v>
      </c>
      <c r="D158" s="128">
        <f>D$7*'Inputs and eligible population'!E$79*$C158</f>
        <v>0</v>
      </c>
      <c r="E158" s="128">
        <f>E$7*'Inputs and eligible population'!F$79*$C158</f>
        <v>3321.6654319164204</v>
      </c>
      <c r="F158" s="128">
        <f>F$7*'Inputs and eligible population'!G$79*$C158+(E$7*'Inputs and eligible population'!F$79*('Unit costs'!$O$61/'Unit costs'!$O$56)*$C158)</f>
        <v>7173.6231304106886</v>
      </c>
      <c r="G158" s="128">
        <f>G$7*'Inputs and eligible population'!H$79*$C158+(F$7*'Inputs and eligible population'!G$79*('Unit costs'!$O$61/'Unit costs'!$O$56)*$C158)</f>
        <v>7518.091207708304</v>
      </c>
      <c r="H158" s="128">
        <f>H$7*'Inputs and eligible population'!I$79*$C158+(G$7*'Inputs and eligible population'!H$79*('Unit costs'!$O$61/'Unit costs'!$O$56)*$C158)</f>
        <v>7590.5791956292833</v>
      </c>
      <c r="I158" s="128">
        <f>I$7*'Inputs and eligible population'!J$79*$C158+(H$7*'Inputs and eligible population'!I$79*('Unit costs'!$O$61/'Unit costs'!$O$56)*$C158)</f>
        <v>7663.7660987732443</v>
      </c>
      <c r="J158" s="296"/>
      <c r="K158" s="747">
        <f>'Inputs and eligible population'!$Q$113</f>
        <v>38.99</v>
      </c>
      <c r="L158" s="299">
        <f>(D158*'Inputs and eligible population'!$F$113/60*'Inputs and eligible population'!$Q$113)/1000</f>
        <v>0</v>
      </c>
      <c r="M158" s="299">
        <f>(E158*'Inputs and eligible population'!$F$113/60*'Inputs and eligible population'!$Q$113)/1000</f>
        <v>0</v>
      </c>
      <c r="N158" s="299">
        <f>(F158*'Inputs and eligible population'!$F$113/60*'Inputs and eligible population'!$Q$113)/1000</f>
        <v>0</v>
      </c>
      <c r="O158" s="299">
        <f>(G158*'Inputs and eligible population'!$F$113/60*'Inputs and eligible population'!$Q$113)/1000</f>
        <v>0</v>
      </c>
      <c r="P158" s="299">
        <f>(H158*'Inputs and eligible population'!$F$113/60*'Inputs and eligible population'!$Q$113)/1000</f>
        <v>0</v>
      </c>
      <c r="Q158" s="299">
        <f>(I158*'Inputs and eligible population'!$F$113/60*'Inputs and eligible population'!$Q$113)/1000</f>
        <v>0</v>
      </c>
      <c r="R158" s="133"/>
      <c r="S158" s="133"/>
      <c r="T158" s="133"/>
      <c r="U158" s="133"/>
      <c r="V158" s="133"/>
      <c r="W158" s="133"/>
      <c r="X158" s="133"/>
      <c r="Y158" s="133"/>
      <c r="Z158" s="133"/>
      <c r="AJ158" s="292"/>
      <c r="AK158" s="292"/>
      <c r="AL158" s="292"/>
      <c r="AM158" s="292"/>
      <c r="AN158" s="292"/>
    </row>
    <row r="159" spans="1:40" x14ac:dyDescent="0.25">
      <c r="A159" s="296"/>
      <c r="B159" s="358" t="s">
        <v>1125</v>
      </c>
      <c r="C159" s="149">
        <f>'Inputs and eligible population'!L112</f>
        <v>10.92</v>
      </c>
      <c r="D159" s="128">
        <f>'Financial impact (cash)'!D40*$C$159+('Financial impact (cash)'!D40*('Unit costs'!$O$85/'Unit costs'!$O$80)*$C$159)</f>
        <v>13262.588448122942</v>
      </c>
      <c r="E159" s="128">
        <f>'Financial impact (cash)'!E40*$C$159+('Financial impact (cash)'!D40*('Unit costs'!$O$85/'Unit costs'!$O$80)*$C$159)</f>
        <v>9964.9962957492608</v>
      </c>
      <c r="F159" s="128">
        <f>'Financial impact (cash)'!F40*$C$159+('Financial impact (cash)'!E40*('Unit costs'!$O$85/'Unit costs'!$O$80)*$C$159)</f>
        <v>6497.7788127866834</v>
      </c>
      <c r="G159" s="128">
        <f>'Financial impact (cash)'!G40*$C$159+('Financial impact (cash)'!F40*('Unit costs'!$O$85/'Unit costs'!$O$80)*$C$159)</f>
        <v>6560.42914504277</v>
      </c>
      <c r="H159" s="128">
        <f>'Financial impact (cash)'!H40*$C$159+('Financial impact (cash)'!G40*('Unit costs'!$O$85/'Unit costs'!$O$80)*$C$159)</f>
        <v>6623.6835397400191</v>
      </c>
      <c r="I159" s="128">
        <f>'Financial impact (cash)'!I40*$C$159+('Financial impact (cash)'!H40*('Unit costs'!$O$85/'Unit costs'!$O$80)*$C$159)</f>
        <v>6687.5478211321879</v>
      </c>
      <c r="J159" s="296"/>
      <c r="K159" s="747">
        <f>'Inputs and eligible population'!$Q$113</f>
        <v>38.99</v>
      </c>
      <c r="L159" s="299">
        <f>(D159*'Inputs and eligible population'!$G$113/60*'Inputs and eligible population'!$Q$113)/1000</f>
        <v>0</v>
      </c>
      <c r="M159" s="299">
        <f>(E159*'Inputs and eligible population'!$G$113/60*'Inputs and eligible population'!$Q$113)/1000</f>
        <v>0</v>
      </c>
      <c r="N159" s="299">
        <f>(F159*'Inputs and eligible population'!$G$113/60*'Inputs and eligible population'!$Q$113)/1000</f>
        <v>0</v>
      </c>
      <c r="O159" s="299">
        <f>(G159*'Inputs and eligible population'!$G$113/60*'Inputs and eligible population'!$Q$113)/1000</f>
        <v>0</v>
      </c>
      <c r="P159" s="299">
        <f>(H159*'Inputs and eligible population'!$G$113/60*'Inputs and eligible population'!$Q$113)/1000</f>
        <v>0</v>
      </c>
      <c r="Q159" s="299">
        <f>(I159*'Inputs and eligible population'!$G$113/60*'Inputs and eligible population'!$Q$113)/1000</f>
        <v>0</v>
      </c>
      <c r="R159" s="133"/>
      <c r="S159" s="133"/>
      <c r="T159" s="133"/>
      <c r="U159" s="133"/>
      <c r="V159" s="133"/>
      <c r="W159" s="133"/>
      <c r="X159" s="133"/>
      <c r="Y159" s="133"/>
      <c r="Z159" s="133"/>
      <c r="AJ159" s="292"/>
      <c r="AK159" s="292"/>
      <c r="AL159" s="292"/>
      <c r="AM159" s="292"/>
      <c r="AN159" s="292"/>
    </row>
    <row r="160" spans="1:40" x14ac:dyDescent="0.25">
      <c r="A160" s="296"/>
      <c r="B160" s="358" t="s">
        <v>1248</v>
      </c>
      <c r="C160" s="149">
        <f>'Inputs and eligible population'!M112</f>
        <v>10.92</v>
      </c>
      <c r="D160" s="128">
        <f>D$7*'Inputs and eligible population'!E$81*$C160</f>
        <v>1336.5399211286685</v>
      </c>
      <c r="E160" s="128">
        <f>E$7*'Inputs and eligible population'!F$81*$C160</f>
        <v>1453.228626463434</v>
      </c>
      <c r="F160" s="128">
        <f>F$7*'Inputs and eligible population'!G$81*$C160</f>
        <v>1467.2403770808644</v>
      </c>
      <c r="G160" s="128">
        <f>G$7*'Inputs and eligible population'!H$81*$C160</f>
        <v>1481.3872262999807</v>
      </c>
      <c r="H160" s="128">
        <f>H$7*'Inputs and eligible population'!I$81*$C160</f>
        <v>1495.6704767154886</v>
      </c>
      <c r="I160" s="128">
        <f>I$7*'Inputs and eligible population'!J$81*$C160</f>
        <v>1510.0914434814617</v>
      </c>
      <c r="J160" s="296"/>
      <c r="K160" s="747">
        <f>'Inputs and eligible population'!$Q$113</f>
        <v>38.99</v>
      </c>
      <c r="L160" s="299">
        <f>(D160*'Inputs and eligible population'!$H$113/60*'Inputs and eligible population'!$Q$113)/1000</f>
        <v>0</v>
      </c>
      <c r="M160" s="299">
        <f>(E160*'Inputs and eligible population'!$H$113/60*'Inputs and eligible population'!$Q$113)/1000</f>
        <v>0</v>
      </c>
      <c r="N160" s="299">
        <f>(F160*'Inputs and eligible population'!$H$113/60*'Inputs and eligible population'!$Q$113)/1000</f>
        <v>0</v>
      </c>
      <c r="O160" s="299">
        <f>(G160*'Inputs and eligible population'!$H$113/60*'Inputs and eligible population'!$Q$113)/1000</f>
        <v>0</v>
      </c>
      <c r="P160" s="299">
        <f>(H160*'Inputs and eligible population'!$H$113/60*'Inputs and eligible population'!$Q$113)/1000</f>
        <v>0</v>
      </c>
      <c r="Q160" s="299">
        <f>(I160*'Inputs and eligible population'!$H$113/60*'Inputs and eligible population'!$Q$113)/1000</f>
        <v>0</v>
      </c>
      <c r="R160" s="133"/>
      <c r="S160" s="133"/>
      <c r="T160" s="133"/>
      <c r="U160" s="133"/>
      <c r="V160" s="133"/>
      <c r="W160" s="133"/>
      <c r="X160" s="133"/>
      <c r="Y160" s="133"/>
      <c r="Z160" s="133"/>
      <c r="AJ160" s="292"/>
      <c r="AK160" s="292"/>
      <c r="AL160" s="292"/>
      <c r="AM160" s="292"/>
      <c r="AN160" s="292"/>
    </row>
    <row r="161" spans="1:40" x14ac:dyDescent="0.25">
      <c r="A161" s="296"/>
      <c r="B161" s="358" t="s">
        <v>1251</v>
      </c>
      <c r="C161" s="149">
        <f>'Inputs and eligible population'!N112</f>
        <v>10.92</v>
      </c>
      <c r="D161" s="128">
        <f>'Financial impact (cash)'!D42*$C$161+('Financial impact (cash)'!D42*('Unit costs'!$O$75/'Unit costs'!$O$70)*$C$161)</f>
        <v>6862.3924834586542</v>
      </c>
      <c r="E161" s="128">
        <f>'Financial impact (cash)'!E42*$C$161+('Financial impact (cash)'!D42*('Unit costs'!$O$75/'Unit costs'!$O$70)*$C$161)</f>
        <v>6919.8868153100311</v>
      </c>
      <c r="F161" s="128">
        <f>'Financial impact (cash)'!F42*$C$161+('Financial impact (cash)'!E42*('Unit costs'!$O$75/'Unit costs'!$O$70)*$C$161)</f>
        <v>6986.6070316554287</v>
      </c>
      <c r="G161" s="128">
        <f>'Financial impact (cash)'!G42*$C$161+('Financial impact (cash)'!F42*('Unit costs'!$O$75/'Unit costs'!$O$70)*$C$161)</f>
        <v>7053.9705514807829</v>
      </c>
      <c r="H161" s="128">
        <f>'Financial impact (cash)'!H42*$C$161+('Financial impact (cash)'!G42*('Unit costs'!$O$75/'Unit costs'!$O$70)*$C$161)</f>
        <v>7121.9835773943842</v>
      </c>
      <c r="I161" s="128">
        <f>'Financial impact (cash)'!I42*$C$161+('Financial impact (cash)'!H42*('Unit costs'!$O$75/'Unit costs'!$O$70)*$C$161)</f>
        <v>7190.6523718088838</v>
      </c>
      <c r="J161" s="296"/>
      <c r="K161" s="747">
        <f>'Inputs and eligible population'!$Q$113</f>
        <v>38.99</v>
      </c>
      <c r="L161" s="299">
        <f>(D161*'Inputs and eligible population'!$I$113/60*'Inputs and eligible population'!$Q$113)/1000</f>
        <v>0</v>
      </c>
      <c r="M161" s="299">
        <f>(E161*'Inputs and eligible population'!$I$113/60*'Inputs and eligible population'!$Q$113)/1000</f>
        <v>0</v>
      </c>
      <c r="N161" s="299">
        <f>(F161*'Inputs and eligible population'!$I$113/60*'Inputs and eligible population'!$Q$113)/1000</f>
        <v>0</v>
      </c>
      <c r="O161" s="299">
        <f>(G161*'Inputs and eligible population'!$I$113/60*'Inputs and eligible population'!$Q$113)/1000</f>
        <v>0</v>
      </c>
      <c r="P161" s="299">
        <f>(H161*'Inputs and eligible population'!$I$113/60*'Inputs and eligible population'!$Q$113)/1000</f>
        <v>0</v>
      </c>
      <c r="Q161" s="299">
        <f>(I161*'Inputs and eligible population'!$I$113/60*'Inputs and eligible population'!$Q$113)/1000</f>
        <v>0</v>
      </c>
      <c r="R161" s="133"/>
      <c r="S161" s="133"/>
      <c r="T161" s="133"/>
      <c r="U161" s="133"/>
      <c r="V161" s="133"/>
      <c r="W161" s="133"/>
      <c r="X161" s="133"/>
      <c r="Y161" s="133"/>
      <c r="Z161" s="133"/>
      <c r="AJ161" s="292"/>
      <c r="AK161" s="292"/>
      <c r="AL161" s="292"/>
      <c r="AM161" s="292"/>
      <c r="AN161" s="292"/>
    </row>
    <row r="162" spans="1:40" x14ac:dyDescent="0.25">
      <c r="A162" s="296"/>
      <c r="B162" s="289"/>
      <c r="C162" s="209"/>
      <c r="D162" s="187">
        <f t="shared" ref="D162:I162" si="81">SUM(D158:D161)</f>
        <v>21461.520852710266</v>
      </c>
      <c r="E162" s="187">
        <f t="shared" si="81"/>
        <v>21659.777169439145</v>
      </c>
      <c r="F162" s="187">
        <f t="shared" si="81"/>
        <v>22125.249351933664</v>
      </c>
      <c r="G162" s="187">
        <f t="shared" si="81"/>
        <v>22613.878130531841</v>
      </c>
      <c r="H162" s="187">
        <f t="shared" si="81"/>
        <v>22831.916789479175</v>
      </c>
      <c r="I162" s="187">
        <f t="shared" si="81"/>
        <v>23052.057735195776</v>
      </c>
      <c r="J162" s="296"/>
      <c r="K162" s="296"/>
      <c r="L162" s="300">
        <f t="shared" ref="L162:Q162" si="82">SUM(L158:L161)</f>
        <v>0</v>
      </c>
      <c r="M162" s="300">
        <f t="shared" si="82"/>
        <v>0</v>
      </c>
      <c r="N162" s="300">
        <f t="shared" si="82"/>
        <v>0</v>
      </c>
      <c r="O162" s="300">
        <f t="shared" si="82"/>
        <v>0</v>
      </c>
      <c r="P162" s="300">
        <f t="shared" si="82"/>
        <v>0</v>
      </c>
      <c r="Q162" s="300">
        <f t="shared" si="82"/>
        <v>0</v>
      </c>
      <c r="R162" s="133"/>
      <c r="S162" s="133"/>
      <c r="T162" s="133"/>
      <c r="U162" s="133"/>
      <c r="V162" s="133"/>
      <c r="W162" s="133"/>
      <c r="X162" s="133"/>
      <c r="Y162" s="133"/>
      <c r="Z162" s="133"/>
      <c r="AJ162" s="292"/>
      <c r="AK162" s="292"/>
      <c r="AL162" s="292"/>
      <c r="AM162" s="292"/>
      <c r="AN162" s="292"/>
    </row>
    <row r="163" spans="1:40" x14ac:dyDescent="0.25">
      <c r="A163" s="296"/>
      <c r="B163" s="312"/>
      <c r="C163" s="262"/>
      <c r="D163" s="291" t="s">
        <v>1184</v>
      </c>
      <c r="E163" s="187">
        <f>E162-$D$162</f>
        <v>198.25631672887903</v>
      </c>
      <c r="F163" s="187">
        <f>F162-$D$162</f>
        <v>663.7284992233981</v>
      </c>
      <c r="G163" s="187">
        <f>G162-$D$162</f>
        <v>1152.3572778215748</v>
      </c>
      <c r="H163" s="187">
        <f>H162-$D$162</f>
        <v>1370.3959367689095</v>
      </c>
      <c r="I163" s="187">
        <f>I162-$D$162</f>
        <v>1590.5368824855104</v>
      </c>
      <c r="J163" s="296"/>
      <c r="K163" s="296"/>
      <c r="L163" s="592"/>
      <c r="M163" s="300">
        <f>M162-$L$162</f>
        <v>0</v>
      </c>
      <c r="N163" s="300">
        <f>N162-$L$162</f>
        <v>0</v>
      </c>
      <c r="O163" s="300">
        <f>O162-$L$162</f>
        <v>0</v>
      </c>
      <c r="P163" s="300">
        <f>P162-$L$162</f>
        <v>0</v>
      </c>
      <c r="Q163" s="300">
        <f>Q162-$L$162</f>
        <v>0</v>
      </c>
      <c r="V163" s="133"/>
    </row>
    <row r="164" spans="1:40" x14ac:dyDescent="0.25">
      <c r="A164" s="296"/>
      <c r="B164" s="335"/>
      <c r="C164" s="225"/>
      <c r="D164" s="225"/>
      <c r="E164" s="225"/>
      <c r="F164" s="225"/>
      <c r="G164" s="225"/>
      <c r="H164" s="225"/>
      <c r="I164" s="225"/>
      <c r="J164" s="296"/>
      <c r="K164" s="296"/>
      <c r="L164" s="225"/>
      <c r="M164" s="225"/>
      <c r="N164" s="225"/>
      <c r="O164" s="225"/>
      <c r="P164" s="225"/>
      <c r="Q164" s="225"/>
      <c r="V164" s="133"/>
    </row>
    <row r="165" spans="1:40" x14ac:dyDescent="0.25">
      <c r="A165" s="296"/>
      <c r="B165" s="409" t="s">
        <v>1165</v>
      </c>
      <c r="C165" s="410"/>
      <c r="D165" s="410"/>
      <c r="E165" s="410"/>
      <c r="F165" s="410"/>
      <c r="G165" s="410"/>
      <c r="H165" s="410"/>
      <c r="I165" s="224"/>
      <c r="J165" s="296"/>
      <c r="K165" s="296"/>
      <c r="L165" s="443"/>
      <c r="M165" s="443"/>
      <c r="N165" s="443"/>
      <c r="O165" s="443"/>
      <c r="P165" s="443"/>
      <c r="Q165" s="443"/>
      <c r="R165" s="133"/>
      <c r="S165" s="133"/>
      <c r="T165" s="133"/>
      <c r="U165" s="133"/>
      <c r="V165" s="133"/>
      <c r="W165" s="133"/>
      <c r="X165" s="133"/>
      <c r="Y165" s="133"/>
      <c r="Z165" s="133"/>
      <c r="AJ165" s="292"/>
      <c r="AK165" s="292"/>
      <c r="AL165" s="292"/>
      <c r="AM165" s="292"/>
      <c r="AN165" s="292"/>
    </row>
    <row r="166" spans="1:40" ht="45" x14ac:dyDescent="0.25">
      <c r="A166" s="296"/>
      <c r="B166" s="285" t="s">
        <v>131</v>
      </c>
      <c r="C166" s="166" t="s">
        <v>1185</v>
      </c>
      <c r="D166" s="434" t="s">
        <v>743</v>
      </c>
      <c r="E166" s="261" t="s">
        <v>51</v>
      </c>
      <c r="F166" s="261" t="s">
        <v>52</v>
      </c>
      <c r="G166" s="165" t="s">
        <v>744</v>
      </c>
      <c r="H166" s="165" t="s">
        <v>745</v>
      </c>
      <c r="I166" s="261" t="s">
        <v>746</v>
      </c>
      <c r="J166" s="296"/>
      <c r="K166" s="746" t="s">
        <v>1252</v>
      </c>
      <c r="L166" s="434" t="s">
        <v>743</v>
      </c>
      <c r="M166" s="261" t="s">
        <v>51</v>
      </c>
      <c r="N166" s="261" t="s">
        <v>52</v>
      </c>
      <c r="O166" s="165" t="s">
        <v>744</v>
      </c>
      <c r="P166" s="165" t="s">
        <v>745</v>
      </c>
      <c r="Q166" s="261" t="s">
        <v>746</v>
      </c>
      <c r="R166" s="133"/>
      <c r="S166" s="133"/>
      <c r="T166" s="133"/>
      <c r="U166" s="133"/>
      <c r="V166" s="133"/>
      <c r="W166" s="133"/>
      <c r="X166" s="133"/>
      <c r="Y166" s="133"/>
      <c r="Z166" s="133"/>
      <c r="AJ166" s="292"/>
      <c r="AK166" s="292"/>
      <c r="AL166" s="292"/>
      <c r="AM166" s="292"/>
      <c r="AN166" s="292"/>
    </row>
    <row r="167" spans="1:40" x14ac:dyDescent="0.25">
      <c r="A167" s="296"/>
      <c r="B167" s="358" t="s">
        <v>1247</v>
      </c>
      <c r="C167" s="149">
        <f>'Inputs and eligible population'!K114</f>
        <v>9.8800000000000008</v>
      </c>
      <c r="D167" s="128">
        <f>D$7*'Inputs and eligible population'!E$79*$C167</f>
        <v>0</v>
      </c>
      <c r="E167" s="128">
        <f>E$7*'Inputs and eligible population'!F$79*$C167</f>
        <v>3005.3163431624757</v>
      </c>
      <c r="F167" s="128">
        <f>F$7*'Inputs and eligible population'!G$79*$C167+(E$7*'Inputs and eligible population'!F$79*('Unit costs'!$O$61/'Unit costs'!$O$56)*$C167)</f>
        <v>6490.4209275144331</v>
      </c>
      <c r="G167" s="128">
        <f>G$7*'Inputs and eligible population'!H$79*$C167+(F$7*'Inputs and eligible population'!G$79*('Unit costs'!$O$61/'Unit costs'!$O$56)*$C167)</f>
        <v>6802.0825212598947</v>
      </c>
      <c r="H167" s="128">
        <f>H$7*'Inputs and eligible population'!I$79*$C167+(G$7*'Inputs and eligible population'!H$79*('Unit costs'!$O$61/'Unit costs'!$O$56)*$C167)</f>
        <v>6867.6668912836376</v>
      </c>
      <c r="I167" s="128">
        <f>I$7*'Inputs and eligible population'!J$79*$C167+(H$7*'Inputs and eligible population'!I$79*('Unit costs'!$O$61/'Unit costs'!$O$56)*$C167)</f>
        <v>6933.8836131757935</v>
      </c>
      <c r="J167" s="296"/>
      <c r="K167" s="747">
        <f>'Inputs and eligible population'!$Q$115</f>
        <v>31.51</v>
      </c>
      <c r="L167" s="299">
        <f>(D167*'Inputs and eligible population'!$F$115/60*'Inputs and eligible population'!$Q$115)/1000</f>
        <v>0</v>
      </c>
      <c r="M167" s="299">
        <f>(E167*'Inputs and eligible population'!$F$115/60*'Inputs and eligible population'!$Q$115)/1000</f>
        <v>0</v>
      </c>
      <c r="N167" s="299">
        <f>(F167*'Inputs and eligible population'!$F$115/60*'Inputs and eligible population'!$Q$115)/1000</f>
        <v>0</v>
      </c>
      <c r="O167" s="299">
        <f>(G167*'Inputs and eligible population'!$F$115/60*'Inputs and eligible population'!$Q$115)/1000</f>
        <v>0</v>
      </c>
      <c r="P167" s="299">
        <f>(H167*'Inputs and eligible population'!$F$115/60*'Inputs and eligible population'!$Q$115)/1000</f>
        <v>0</v>
      </c>
      <c r="Q167" s="299">
        <f>(I167*'Inputs and eligible population'!$F$115/60*'Inputs and eligible population'!$Q$115)/1000</f>
        <v>0</v>
      </c>
      <c r="R167" s="133"/>
      <c r="S167" s="133"/>
      <c r="T167" s="133"/>
      <c r="U167" s="133"/>
      <c r="V167" s="133"/>
      <c r="W167" s="133"/>
      <c r="X167" s="133"/>
      <c r="Y167" s="133"/>
      <c r="Z167" s="133"/>
      <c r="AJ167" s="292"/>
      <c r="AK167" s="292"/>
      <c r="AL167" s="292"/>
      <c r="AM167" s="292"/>
      <c r="AN167" s="292"/>
    </row>
    <row r="168" spans="1:40" x14ac:dyDescent="0.25">
      <c r="A168" s="296"/>
      <c r="B168" s="358" t="s">
        <v>1125</v>
      </c>
      <c r="C168" s="149">
        <f>'Inputs and eligible population'!L114</f>
        <v>9.8800000000000008</v>
      </c>
      <c r="D168" s="128">
        <f>'Financial impact (cash)'!$D$40*$C$168+('Financial impact (cash)'!$D$40*('Unit costs'!$O$85/'Unit costs'!$O$80)*$C$168)</f>
        <v>11999.484786396948</v>
      </c>
      <c r="E168" s="128">
        <f>'Financial impact (cash)'!$E$40*$C$168+('Financial impact (cash)'!$D$40*('Unit costs'!$O$85/'Unit costs'!$O$80)*$C$168)</f>
        <v>9015.9490294874267</v>
      </c>
      <c r="F168" s="128">
        <f>'Financial impact (cash)'!$F$40*$C$168+('Financial impact (cash)'!$E$40*('Unit costs'!$O$85/'Unit costs'!$O$80)*$C$168)</f>
        <v>5878.9427353784286</v>
      </c>
      <c r="G168" s="128">
        <f>'Financial impact (cash)'!$G$40*$C$168+('Financial impact (cash)'!$F$40*('Unit costs'!$O$85/'Unit costs'!$O$80)*$C$168)</f>
        <v>5935.6263693244118</v>
      </c>
      <c r="H168" s="128">
        <f>'Financial impact (cash)'!$G$40*$C$168+('Financial impact (cash)'!$H$40*('Unit costs'!$O$85/'Unit costs'!$O$80)*$C$168)</f>
        <v>5935.6263693244118</v>
      </c>
      <c r="I168" s="128">
        <f>'Financial impact (cash)'!$H$40*$C$168+('Financial impact (cash)'!$I$40*('Unit costs'!$O$85/'Unit costs'!$O$80)*$C$168)</f>
        <v>5992.8565359552558</v>
      </c>
      <c r="J168" s="296"/>
      <c r="K168" s="747">
        <f>'Inputs and eligible population'!$Q$115</f>
        <v>31.51</v>
      </c>
      <c r="L168" s="299">
        <f>(D168*'Inputs and eligible population'!$G$115/60*'Inputs and eligible population'!$Q$115)/1000</f>
        <v>0</v>
      </c>
      <c r="M168" s="299">
        <f>(E168*'Inputs and eligible population'!$G$115/60*'Inputs and eligible population'!$Q$115)/1000</f>
        <v>0</v>
      </c>
      <c r="N168" s="299">
        <f>(F168*'Inputs and eligible population'!$G$115/60*'Inputs and eligible population'!$Q$115)/1000</f>
        <v>0</v>
      </c>
      <c r="O168" s="299">
        <f>(G168*'Inputs and eligible population'!$G$115/60*'Inputs and eligible population'!$Q$115)/1000</f>
        <v>0</v>
      </c>
      <c r="P168" s="299">
        <f>(H168*'Inputs and eligible population'!$G$115/60*'Inputs and eligible population'!$Q$115)/1000</f>
        <v>0</v>
      </c>
      <c r="Q168" s="299">
        <f>(I168*'Inputs and eligible population'!$G$115/60*'Inputs and eligible population'!$Q$115)/1000</f>
        <v>0</v>
      </c>
      <c r="R168" s="133"/>
      <c r="S168" s="133"/>
      <c r="T168" s="133"/>
      <c r="U168" s="133"/>
      <c r="V168" s="133"/>
      <c r="W168" s="133"/>
      <c r="X168" s="133"/>
      <c r="Y168" s="133"/>
      <c r="Z168" s="133"/>
      <c r="AJ168" s="292"/>
      <c r="AK168" s="292"/>
      <c r="AL168" s="292"/>
      <c r="AM168" s="292"/>
      <c r="AN168" s="292"/>
    </row>
    <row r="169" spans="1:40" x14ac:dyDescent="0.25">
      <c r="A169" s="296"/>
      <c r="B169" s="358" t="s">
        <v>1248</v>
      </c>
      <c r="C169" s="149">
        <f>'Inputs and eligible population'!M114</f>
        <v>9.8800000000000008</v>
      </c>
      <c r="D169" s="128">
        <f>D$7*'Inputs and eligible population'!E$81*$C169</f>
        <v>1209.2504048307001</v>
      </c>
      <c r="E169" s="128">
        <f>E$7*'Inputs and eligible population'!F$81*$C169</f>
        <v>1314.8259001335832</v>
      </c>
      <c r="F169" s="128">
        <f>F$7*'Inputs and eligible population'!G$81*$C169</f>
        <v>1327.5031983112583</v>
      </c>
      <c r="G169" s="128">
        <f>G$7*'Inputs and eligible population'!H$81*$C169</f>
        <v>1340.3027285571254</v>
      </c>
      <c r="H169" s="128">
        <f>H$7*'Inputs and eligible population'!I$81*$C169</f>
        <v>1353.2256694092516</v>
      </c>
      <c r="I169" s="128">
        <f>I$7*'Inputs and eligible population'!J$81*$C169</f>
        <v>1366.2732107689417</v>
      </c>
      <c r="J169" s="296"/>
      <c r="K169" s="747">
        <f>'Inputs and eligible population'!$Q$115</f>
        <v>31.51</v>
      </c>
      <c r="L169" s="299">
        <f>(D169*'Inputs and eligible population'!$H$115/60*'Inputs and eligible population'!$Q$115)/1000</f>
        <v>0</v>
      </c>
      <c r="M169" s="299">
        <f>(E169*'Inputs and eligible population'!$H$115/60*'Inputs and eligible population'!$Q$115)/1000</f>
        <v>0</v>
      </c>
      <c r="N169" s="299">
        <f>(F169*'Inputs and eligible population'!$H$115/60*'Inputs and eligible population'!$Q$115)/1000</f>
        <v>0</v>
      </c>
      <c r="O169" s="299">
        <f>(G169*'Inputs and eligible population'!$H$115/60*'Inputs and eligible population'!$Q$115)/1000</f>
        <v>0</v>
      </c>
      <c r="P169" s="299">
        <f>(H169*'Inputs and eligible population'!$H$115/60*'Inputs and eligible population'!$Q$115)/1000</f>
        <v>0</v>
      </c>
      <c r="Q169" s="299">
        <f>(I169*'Inputs and eligible population'!$H$115/60*'Inputs and eligible population'!$Q$115)/1000</f>
        <v>0</v>
      </c>
      <c r="R169" s="133"/>
      <c r="S169" s="133"/>
      <c r="T169" s="133"/>
      <c r="U169" s="133"/>
      <c r="V169" s="133"/>
      <c r="W169" s="133"/>
      <c r="X169" s="133"/>
      <c r="Y169" s="133"/>
      <c r="Z169" s="133"/>
      <c r="AJ169" s="292"/>
      <c r="AK169" s="292"/>
      <c r="AL169" s="292"/>
      <c r="AM169" s="292"/>
      <c r="AN169" s="292"/>
    </row>
    <row r="170" spans="1:40" x14ac:dyDescent="0.25">
      <c r="A170" s="296"/>
      <c r="B170" s="358" t="s">
        <v>1251</v>
      </c>
      <c r="C170" s="149">
        <f>'Inputs and eligible population'!N114</f>
        <v>9.8800000000000008</v>
      </c>
      <c r="D170" s="128">
        <f>'Financial impact (cash)'!$D$42*$C$170+('Financial impact (cash)'!$D$42*('Unit costs'!$O$85/'Unit costs'!$O$80)*$C$170)</f>
        <v>5395.1171907831231</v>
      </c>
      <c r="E170" s="128">
        <f>'Financial impact (cash)'!$E$42*$C$170+('Financial impact (cash)'!$D$42*('Unit costs'!$O$85/'Unit costs'!$O$80)*$C$170)</f>
        <v>5447.1358719819873</v>
      </c>
      <c r="F170" s="128">
        <f>'Financial impact (cash)'!$F$42*$C$170+('Financial impact (cash)'!$E$42*('Unit costs'!$O$85/'Unit costs'!$O$80)*$C$170)</f>
        <v>5499.6561072894974</v>
      </c>
      <c r="G170" s="128">
        <f>'Financial impact (cash)'!$G$42*$C$170+('Financial impact (cash)'!$F$42*('Unit costs'!$O$85/'Unit costs'!$O$80)*$C$170)</f>
        <v>5552.6827325938038</v>
      </c>
      <c r="H170" s="128">
        <f>'Financial impact (cash)'!$G$42*$C$170+('Financial impact (cash)'!$H$42*('Unit costs'!$O$85/'Unit costs'!$O$80)*$C$170)</f>
        <v>5552.6827325938038</v>
      </c>
      <c r="I170" s="128">
        <f>'Financial impact (cash)'!$H$42*$C$170+('Financial impact (cash)'!$I$42*('Unit costs'!$O$85/'Unit costs'!$O$80)*$C$170)</f>
        <v>5606.2206304097554</v>
      </c>
      <c r="J170" s="296"/>
      <c r="K170" s="747">
        <f>'Inputs and eligible population'!$Q$115</f>
        <v>31.51</v>
      </c>
      <c r="L170" s="299">
        <f>(D170*'Inputs and eligible population'!$I$115/60*'Inputs and eligible population'!$Q$115)/1000</f>
        <v>0</v>
      </c>
      <c r="M170" s="299">
        <f>(E170*'Inputs and eligible population'!$I$115/60*'Inputs and eligible population'!$Q$115)/1000</f>
        <v>0</v>
      </c>
      <c r="N170" s="299">
        <f>(F170*'Inputs and eligible population'!$I$115/60*'Inputs and eligible population'!$Q$115)/1000</f>
        <v>0</v>
      </c>
      <c r="O170" s="299">
        <f>(G170*'Inputs and eligible population'!$I$115/60*'Inputs and eligible population'!$Q$115)/1000</f>
        <v>0</v>
      </c>
      <c r="P170" s="299">
        <f>(H170*'Inputs and eligible population'!$I$115/60*'Inputs and eligible population'!$Q$115)/1000</f>
        <v>0</v>
      </c>
      <c r="Q170" s="299">
        <f>(I170*'Inputs and eligible population'!$I$115/60*'Inputs and eligible population'!$Q$115)/1000</f>
        <v>0</v>
      </c>
      <c r="R170" s="133"/>
      <c r="S170" s="133"/>
      <c r="T170" s="133"/>
      <c r="U170" s="133"/>
      <c r="V170" s="133"/>
      <c r="W170" s="133"/>
      <c r="X170" s="133"/>
      <c r="Y170" s="133"/>
      <c r="Z170" s="133"/>
      <c r="AJ170" s="292"/>
      <c r="AK170" s="292"/>
      <c r="AL170" s="292"/>
      <c r="AM170" s="292"/>
      <c r="AN170" s="292"/>
    </row>
    <row r="171" spans="1:40" x14ac:dyDescent="0.25">
      <c r="A171" s="296"/>
      <c r="B171" s="289"/>
      <c r="C171" s="209"/>
      <c r="D171" s="187">
        <f t="shared" ref="D171:I171" si="83">SUM(D167:D170)</f>
        <v>18603.852382010773</v>
      </c>
      <c r="E171" s="187">
        <f t="shared" si="83"/>
        <v>18783.227144765471</v>
      </c>
      <c r="F171" s="187">
        <f t="shared" si="83"/>
        <v>19196.522968493617</v>
      </c>
      <c r="G171" s="187">
        <f t="shared" si="83"/>
        <v>19630.694351735237</v>
      </c>
      <c r="H171" s="187">
        <f t="shared" si="83"/>
        <v>19709.201662611107</v>
      </c>
      <c r="I171" s="187">
        <f t="shared" si="83"/>
        <v>19899.233990309745</v>
      </c>
      <c r="J171" s="296"/>
      <c r="K171" s="296"/>
      <c r="L171" s="300">
        <f t="shared" ref="L171:Q171" si="84">SUM(L167:L170)</f>
        <v>0</v>
      </c>
      <c r="M171" s="300">
        <f t="shared" si="84"/>
        <v>0</v>
      </c>
      <c r="N171" s="300">
        <f t="shared" si="84"/>
        <v>0</v>
      </c>
      <c r="O171" s="300">
        <f t="shared" si="84"/>
        <v>0</v>
      </c>
      <c r="P171" s="300">
        <f t="shared" si="84"/>
        <v>0</v>
      </c>
      <c r="Q171" s="300">
        <f t="shared" si="84"/>
        <v>0</v>
      </c>
      <c r="R171" s="133"/>
      <c r="S171" s="133"/>
      <c r="T171" s="133"/>
      <c r="U171" s="133"/>
      <c r="V171" s="133"/>
      <c r="W171" s="133"/>
      <c r="X171" s="133"/>
      <c r="Y171" s="133"/>
      <c r="Z171" s="133"/>
      <c r="AJ171" s="292"/>
      <c r="AK171" s="292"/>
      <c r="AL171" s="292"/>
      <c r="AM171" s="292"/>
      <c r="AN171" s="292"/>
    </row>
    <row r="172" spans="1:40" x14ac:dyDescent="0.25">
      <c r="A172" s="296"/>
      <c r="B172" s="312"/>
      <c r="C172" s="262"/>
      <c r="D172" s="291" t="s">
        <v>1186</v>
      </c>
      <c r="E172" s="187">
        <f>E171-$D$171</f>
        <v>179.37476275469817</v>
      </c>
      <c r="F172" s="187">
        <f>F171-$D$171</f>
        <v>592.67058648284365</v>
      </c>
      <c r="G172" s="187">
        <f>G171-$D$171</f>
        <v>1026.8419697244644</v>
      </c>
      <c r="H172" s="187">
        <f>H171-$D$171</f>
        <v>1105.3492806003342</v>
      </c>
      <c r="I172" s="187">
        <f>I171-$D$171</f>
        <v>1295.3816082989724</v>
      </c>
      <c r="J172" s="296"/>
      <c r="K172" s="296"/>
      <c r="L172" s="592"/>
      <c r="M172" s="300">
        <f>M171-$L$171</f>
        <v>0</v>
      </c>
      <c r="N172" s="300">
        <f>N171-$L$171</f>
        <v>0</v>
      </c>
      <c r="O172" s="300">
        <f>O171-$L$171</f>
        <v>0</v>
      </c>
      <c r="P172" s="300">
        <f>P171-$L$171</f>
        <v>0</v>
      </c>
      <c r="Q172" s="300">
        <f>Q171-$L$171</f>
        <v>0</v>
      </c>
      <c r="V172" s="133"/>
    </row>
    <row r="173" spans="1:40" x14ac:dyDescent="0.25">
      <c r="A173" s="296"/>
      <c r="B173" s="335"/>
      <c r="C173" s="225"/>
      <c r="D173" s="225"/>
      <c r="E173" s="225"/>
      <c r="F173" s="225"/>
      <c r="G173" s="225"/>
      <c r="H173" s="225"/>
      <c r="I173" s="225"/>
      <c r="J173" s="225"/>
      <c r="K173" s="225"/>
      <c r="L173" s="225"/>
      <c r="M173" s="225"/>
      <c r="N173" s="225"/>
      <c r="O173" s="225"/>
      <c r="P173" s="225"/>
      <c r="Q173" s="225"/>
      <c r="V173" s="133"/>
    </row>
    <row r="174" spans="1:40" x14ac:dyDescent="0.25">
      <c r="A174" s="296"/>
      <c r="B174" s="409" t="s">
        <v>1187</v>
      </c>
      <c r="C174" s="410"/>
      <c r="D174" s="410"/>
      <c r="E174" s="410"/>
      <c r="F174" s="410"/>
      <c r="G174" s="410"/>
      <c r="H174" s="410"/>
      <c r="I174" s="224"/>
      <c r="J174" s="225"/>
      <c r="K174" s="225"/>
      <c r="L174" s="225"/>
      <c r="M174" s="225"/>
      <c r="N174" s="225"/>
      <c r="O174" s="225"/>
      <c r="P174" s="225"/>
      <c r="Q174" s="225"/>
      <c r="R174" s="133"/>
      <c r="S174" s="133"/>
      <c r="T174" s="133"/>
      <c r="U174" s="133"/>
      <c r="V174" s="133"/>
      <c r="W174" s="133"/>
      <c r="X174" s="133"/>
      <c r="Y174" s="133"/>
      <c r="Z174" s="133"/>
      <c r="AJ174" s="292"/>
      <c r="AK174" s="292"/>
      <c r="AL174" s="292"/>
      <c r="AM174" s="292"/>
      <c r="AN174" s="292"/>
    </row>
    <row r="175" spans="1:40" ht="45" x14ac:dyDescent="0.25">
      <c r="A175" s="296"/>
      <c r="B175" s="285" t="s">
        <v>131</v>
      </c>
      <c r="C175" s="166" t="s">
        <v>1188</v>
      </c>
      <c r="D175" s="434" t="s">
        <v>743</v>
      </c>
      <c r="E175" s="261" t="s">
        <v>51</v>
      </c>
      <c r="F175" s="261" t="s">
        <v>52</v>
      </c>
      <c r="G175" s="165" t="s">
        <v>744</v>
      </c>
      <c r="H175" s="165" t="s">
        <v>745</v>
      </c>
      <c r="I175" s="261" t="s">
        <v>746</v>
      </c>
      <c r="J175" s="296"/>
      <c r="K175" s="746" t="s">
        <v>1252</v>
      </c>
      <c r="L175" s="434" t="s">
        <v>743</v>
      </c>
      <c r="M175" s="261" t="s">
        <v>51</v>
      </c>
      <c r="N175" s="261" t="s">
        <v>52</v>
      </c>
      <c r="O175" s="165" t="s">
        <v>744</v>
      </c>
      <c r="P175" s="165" t="s">
        <v>745</v>
      </c>
      <c r="Q175" s="261" t="s">
        <v>746</v>
      </c>
      <c r="R175" s="133"/>
      <c r="S175" s="133"/>
      <c r="T175" s="133"/>
      <c r="U175" s="133"/>
      <c r="V175" s="133"/>
      <c r="W175" s="133"/>
      <c r="X175" s="133"/>
      <c r="Y175" s="133"/>
      <c r="Z175" s="133"/>
      <c r="AJ175" s="292"/>
      <c r="AK175" s="292"/>
      <c r="AL175" s="292"/>
      <c r="AM175" s="292"/>
      <c r="AN175" s="292"/>
    </row>
    <row r="176" spans="1:40" x14ac:dyDescent="0.25">
      <c r="A176" s="296"/>
      <c r="B176" s="358" t="s">
        <v>1247</v>
      </c>
      <c r="C176" s="149">
        <f>'Inputs and eligible population'!K116</f>
        <v>6.24</v>
      </c>
      <c r="D176" s="128">
        <f>D$7*'Inputs and eligible population'!E$79*$C176</f>
        <v>0</v>
      </c>
      <c r="E176" s="128">
        <f>E$7*'Inputs and eligible population'!F$79*$C176</f>
        <v>1898.0945325236689</v>
      </c>
      <c r="F176" s="128">
        <f>F$7*'Inputs and eligible population'!G$79*$C176+(E$7*'Inputs and eligible population'!F$79*('Unit costs'!$O$61/'Unit costs'!$O$56)*$C176)</f>
        <v>4099.2132173775362</v>
      </c>
      <c r="G176" s="128">
        <f>G$7*'Inputs and eligible population'!H$79*$C176+(F$7*'Inputs and eligible population'!G$79*('Unit costs'!$O$61/'Unit costs'!$O$56)*$C176)</f>
        <v>4296.0521186904598</v>
      </c>
      <c r="H176" s="128">
        <f>H$7*'Inputs and eligible population'!I$79*$C176+(G$7*'Inputs and eligible population'!H$79*('Unit costs'!$O$61/'Unit costs'!$O$56)*$C176)</f>
        <v>4337.4738260738759</v>
      </c>
      <c r="I176" s="128">
        <f>I$7*'Inputs and eligible population'!J$79*$C176+(H$7*'Inputs and eligible population'!I$79*('Unit costs'!$O$61/'Unit costs'!$O$56)*$C176)</f>
        <v>4379.294913584712</v>
      </c>
      <c r="J176" s="296"/>
      <c r="K176" s="747">
        <f>'Inputs and eligible population'!$Q$117</f>
        <v>43.28</v>
      </c>
      <c r="L176" s="299">
        <f>(D176*'Inputs and eligible population'!$F$117/60*'Inputs and eligible population'!$Q$117)/1000</f>
        <v>0</v>
      </c>
      <c r="M176" s="299">
        <f>(E176*'Inputs and eligible population'!$F$117/60*'Inputs and eligible population'!$Q$117)/1000</f>
        <v>0</v>
      </c>
      <c r="N176" s="299">
        <f>(F176*'Inputs and eligible population'!$F$117/60*'Inputs and eligible population'!$Q$117)/1000</f>
        <v>0</v>
      </c>
      <c r="O176" s="299">
        <f>(G176*'Inputs and eligible population'!$F$117/60*'Inputs and eligible population'!$Q$117)/1000</f>
        <v>0</v>
      </c>
      <c r="P176" s="299">
        <f>(H176*'Inputs and eligible population'!$F$117/60*'Inputs and eligible population'!$Q$117)/1000</f>
        <v>0</v>
      </c>
      <c r="Q176" s="299">
        <f>(I176*'Inputs and eligible population'!$F$117/60*'Inputs and eligible population'!$Q$117)/1000</f>
        <v>0</v>
      </c>
      <c r="R176" s="133"/>
      <c r="S176" s="133"/>
      <c r="T176" s="133"/>
      <c r="U176" s="133"/>
      <c r="V176" s="133"/>
      <c r="W176" s="133"/>
      <c r="X176" s="133"/>
      <c r="Y176" s="133"/>
      <c r="Z176" s="133"/>
      <c r="AJ176" s="292"/>
      <c r="AK176" s="292"/>
      <c r="AL176" s="292"/>
      <c r="AM176" s="292"/>
      <c r="AN176" s="292"/>
    </row>
    <row r="177" spans="1:40" x14ac:dyDescent="0.25">
      <c r="A177" s="296"/>
      <c r="B177" s="358" t="s">
        <v>1125</v>
      </c>
      <c r="C177" s="149">
        <f>'Inputs and eligible population'!L116</f>
        <v>6.24</v>
      </c>
      <c r="D177" s="128">
        <f>'Financial impact (cash)'!$D$40*$C$177+('Financial impact (cash)'!$D$40*('Unit costs'!$O$85/'Unit costs'!$O$80)*$C$177)</f>
        <v>7578.6219703559673</v>
      </c>
      <c r="E177" s="128">
        <f>'Financial impact (cash)'!$E$40*$C$177+('Financial impact (cash)'!$D$40*('Unit costs'!$O$85/'Unit costs'!$O$80)*$C$177)</f>
        <v>5694.2835975710068</v>
      </c>
      <c r="F177" s="128">
        <f>'Financial impact (cash)'!$F$40*$C$177+('Financial impact (cash)'!$E$40*('Unit costs'!$O$85/'Unit costs'!$O$80)*$C$177)</f>
        <v>3713.0164644495335</v>
      </c>
      <c r="G177" s="128">
        <f>'Financial impact (cash)'!$G$40*$C$177+('Financial impact (cash)'!$F$40*('Unit costs'!$O$85/'Unit costs'!$O$80)*$C$177)</f>
        <v>3748.8166543101547</v>
      </c>
      <c r="H177" s="128">
        <f>'Financial impact (cash)'!$G$40*$C$177+('Financial impact (cash)'!$H$40*('Unit costs'!$O$85/'Unit costs'!$O$80)*$C$177)</f>
        <v>3748.8166543101547</v>
      </c>
      <c r="I177" s="128">
        <f>'Financial impact (cash)'!$H$40*$C$177+('Financial impact (cash)'!$I$40*('Unit costs'!$O$85/'Unit costs'!$O$80)*$C$177)</f>
        <v>3784.9620227085825</v>
      </c>
      <c r="J177" s="296"/>
      <c r="K177" s="747">
        <f>'Inputs and eligible population'!$Q$117</f>
        <v>43.28</v>
      </c>
      <c r="L177" s="299">
        <f>(D177*'Inputs and eligible population'!$G$117/60*'Inputs and eligible population'!$Q$117)/1000</f>
        <v>0</v>
      </c>
      <c r="M177" s="299">
        <f>(E177*'Inputs and eligible population'!$G$117/60*'Inputs and eligible population'!$Q$117)/1000</f>
        <v>0</v>
      </c>
      <c r="N177" s="299">
        <f>(F177*'Inputs and eligible population'!$G$117/60*'Inputs and eligible population'!$Q$117)/1000</f>
        <v>0</v>
      </c>
      <c r="O177" s="299">
        <f>(G177*'Inputs and eligible population'!$G$117/60*'Inputs and eligible population'!$Q$117)/1000</f>
        <v>0</v>
      </c>
      <c r="P177" s="299">
        <f>(H177*'Inputs and eligible population'!$G$117/60*'Inputs and eligible population'!$Q$117)/1000</f>
        <v>0</v>
      </c>
      <c r="Q177" s="299">
        <f>(I177*'Inputs and eligible population'!$G$117/60*'Inputs and eligible population'!$Q$117)/1000</f>
        <v>0</v>
      </c>
      <c r="R177" s="133"/>
      <c r="S177" s="133"/>
      <c r="T177" s="133"/>
      <c r="U177" s="133"/>
      <c r="V177" s="133"/>
      <c r="W177" s="133"/>
      <c r="X177" s="133"/>
      <c r="Y177" s="133"/>
      <c r="Z177" s="133"/>
      <c r="AJ177" s="292"/>
      <c r="AK177" s="292"/>
      <c r="AL177" s="292"/>
      <c r="AM177" s="292"/>
      <c r="AN177" s="292"/>
    </row>
    <row r="178" spans="1:40" x14ac:dyDescent="0.25">
      <c r="A178" s="296"/>
      <c r="B178" s="358" t="s">
        <v>1248</v>
      </c>
      <c r="C178" s="149">
        <f>'Inputs and eligible population'!M116</f>
        <v>6.24</v>
      </c>
      <c r="D178" s="128">
        <f>D$7*'Inputs and eligible population'!E$81*$C178</f>
        <v>763.73709778781063</v>
      </c>
      <c r="E178" s="128">
        <f>E$7*'Inputs and eligible population'!F$81*$C178</f>
        <v>830.41635797910521</v>
      </c>
      <c r="F178" s="128">
        <f>F$7*'Inputs and eligible population'!G$81*$C178</f>
        <v>838.42307261763688</v>
      </c>
      <c r="G178" s="128">
        <f>G$7*'Inputs and eligible population'!H$81*$C178</f>
        <v>846.5069864571318</v>
      </c>
      <c r="H178" s="128">
        <f>H$7*'Inputs and eligible population'!I$81*$C178</f>
        <v>854.66884383742206</v>
      </c>
      <c r="I178" s="128">
        <f>I$7*'Inputs and eligible population'!J$81*$C178</f>
        <v>862.90939627512103</v>
      </c>
      <c r="J178" s="296"/>
      <c r="K178" s="747">
        <f>'Inputs and eligible population'!$Q$117</f>
        <v>43.28</v>
      </c>
      <c r="L178" s="299">
        <f>(D178*'Inputs and eligible population'!$H$117/60*'Inputs and eligible population'!$Q$117)/1000</f>
        <v>0</v>
      </c>
      <c r="M178" s="299">
        <f>(E178*'Inputs and eligible population'!$H$117/60*'Inputs and eligible population'!$Q$117)/1000</f>
        <v>0</v>
      </c>
      <c r="N178" s="299">
        <f>(F178*'Inputs and eligible population'!$H$117/60*'Inputs and eligible population'!$Q$117)/1000</f>
        <v>0</v>
      </c>
      <c r="O178" s="299">
        <f>(G178*'Inputs and eligible population'!$H$117/60*'Inputs and eligible population'!$Q$117)/1000</f>
        <v>0</v>
      </c>
      <c r="P178" s="299">
        <f>(H178*'Inputs and eligible population'!$H$117/60*'Inputs and eligible population'!$Q$117)/1000</f>
        <v>0</v>
      </c>
      <c r="Q178" s="299">
        <f>(I178*'Inputs and eligible population'!$H$117/60*'Inputs and eligible population'!$Q$117)/1000</f>
        <v>0</v>
      </c>
      <c r="R178" s="133"/>
      <c r="S178" s="133"/>
      <c r="T178" s="133"/>
      <c r="U178" s="133"/>
      <c r="V178" s="133"/>
      <c r="W178" s="133"/>
      <c r="X178" s="133"/>
      <c r="Y178" s="133"/>
      <c r="Z178" s="133"/>
      <c r="AJ178" s="292"/>
      <c r="AK178" s="292"/>
      <c r="AL178" s="292"/>
      <c r="AM178" s="292"/>
      <c r="AN178" s="292"/>
    </row>
    <row r="179" spans="1:40" x14ac:dyDescent="0.25">
      <c r="A179" s="296"/>
      <c r="B179" s="358" t="s">
        <v>1251</v>
      </c>
      <c r="C179" s="149">
        <f>'Inputs and eligible population'!N116</f>
        <v>6.24</v>
      </c>
      <c r="D179" s="128">
        <f>'Financial impact (cash)'!$D$42*$C$179+('Financial impact (cash)'!$D$42*('Unit costs'!$O$85/'Unit costs'!$O$80)*$C$179)</f>
        <v>3407.4424362840778</v>
      </c>
      <c r="E179" s="128">
        <f>'Financial impact (cash)'!$E$42*$C$179+('Financial impact (cash)'!$D$42*('Unit costs'!$O$85/'Unit costs'!$O$80)*$C$179)</f>
        <v>3440.2963401991497</v>
      </c>
      <c r="F179" s="128">
        <f>'Financial impact (cash)'!$F$42*$C$179+('Financial impact (cash)'!$E$42*('Unit costs'!$O$85/'Unit costs'!$O$80)*$C$179)</f>
        <v>3473.4670151302089</v>
      </c>
      <c r="G179" s="128">
        <f>'Financial impact (cash)'!$G$42*$C$179+('Financial impact (cash)'!$F$42*('Unit costs'!$O$85/'Unit costs'!$O$80)*$C$179)</f>
        <v>3506.9575153224023</v>
      </c>
      <c r="H179" s="128">
        <f>'Financial impact (cash)'!$G$42*$C$179+('Financial impact (cash)'!$H$42*('Unit costs'!$O$85/'Unit costs'!$O$80)*$C$179)</f>
        <v>3506.9575153224023</v>
      </c>
      <c r="I179" s="128">
        <f>'Financial impact (cash)'!$H$42*$C$179+('Financial impact (cash)'!$I$42*('Unit costs'!$O$85/'Unit costs'!$O$80)*$C$179)</f>
        <v>3540.7709244693187</v>
      </c>
      <c r="J179" s="296"/>
      <c r="K179" s="747">
        <f>'Inputs and eligible population'!$Q$117</f>
        <v>43.28</v>
      </c>
      <c r="L179" s="299">
        <f>(D179*'Inputs and eligible population'!$I$117/60*'Inputs and eligible population'!$Q$117)/1000</f>
        <v>0</v>
      </c>
      <c r="M179" s="299">
        <f>(E179*'Inputs and eligible population'!$I$117/60*'Inputs and eligible population'!$Q$117)/1000</f>
        <v>0</v>
      </c>
      <c r="N179" s="299">
        <f>(F179*'Inputs and eligible population'!$I$117/60*'Inputs and eligible population'!$Q$117)/1000</f>
        <v>0</v>
      </c>
      <c r="O179" s="299">
        <f>(G179*'Inputs and eligible population'!$I$117/60*'Inputs and eligible population'!$Q$117)/1000</f>
        <v>0</v>
      </c>
      <c r="P179" s="299">
        <f>(H179*'Inputs and eligible population'!$I$117/60*'Inputs and eligible population'!$Q$117)/1000</f>
        <v>0</v>
      </c>
      <c r="Q179" s="299">
        <f>(I179*'Inputs and eligible population'!$I$117/60*'Inputs and eligible population'!$Q$117)/1000</f>
        <v>0</v>
      </c>
      <c r="R179" s="133"/>
      <c r="S179" s="133"/>
      <c r="T179" s="133"/>
      <c r="U179" s="133"/>
      <c r="V179" s="133"/>
      <c r="W179" s="133"/>
      <c r="X179" s="133"/>
      <c r="Y179" s="133"/>
      <c r="Z179" s="133"/>
      <c r="AJ179" s="292"/>
      <c r="AK179" s="292"/>
      <c r="AL179" s="292"/>
      <c r="AM179" s="292"/>
      <c r="AN179" s="292"/>
    </row>
    <row r="180" spans="1:40" x14ac:dyDescent="0.25">
      <c r="A180" s="296"/>
      <c r="B180" s="289"/>
      <c r="C180" s="209"/>
      <c r="D180" s="187">
        <f t="shared" ref="D180:H180" si="85">SUM(D176:D179)</f>
        <v>11749.801504427856</v>
      </c>
      <c r="E180" s="187">
        <f t="shared" si="85"/>
        <v>11863.090828272931</v>
      </c>
      <c r="F180" s="187">
        <f t="shared" si="85"/>
        <v>12124.119769574916</v>
      </c>
      <c r="G180" s="187">
        <f t="shared" si="85"/>
        <v>12398.333274780151</v>
      </c>
      <c r="H180" s="187">
        <f t="shared" si="85"/>
        <v>12447.916839543854</v>
      </c>
      <c r="I180" s="187">
        <f>SUM(I176:I179)</f>
        <v>12567.937257037735</v>
      </c>
      <c r="J180" s="296"/>
      <c r="K180" s="296"/>
      <c r="L180" s="300">
        <f t="shared" ref="L180:Q180" si="86">SUM(L176:L179)</f>
        <v>0</v>
      </c>
      <c r="M180" s="300">
        <f t="shared" si="86"/>
        <v>0</v>
      </c>
      <c r="N180" s="300">
        <f t="shared" si="86"/>
        <v>0</v>
      </c>
      <c r="O180" s="300">
        <f t="shared" si="86"/>
        <v>0</v>
      </c>
      <c r="P180" s="300">
        <f t="shared" si="86"/>
        <v>0</v>
      </c>
      <c r="Q180" s="300">
        <f t="shared" si="86"/>
        <v>0</v>
      </c>
      <c r="R180" s="133"/>
      <c r="S180" s="133"/>
      <c r="T180" s="133"/>
      <c r="U180" s="133"/>
      <c r="V180" s="133"/>
      <c r="W180" s="133"/>
      <c r="X180" s="133"/>
      <c r="Y180" s="133"/>
      <c r="Z180" s="133"/>
      <c r="AJ180" s="292"/>
      <c r="AK180" s="292"/>
      <c r="AL180" s="292"/>
      <c r="AM180" s="292"/>
      <c r="AN180" s="292"/>
    </row>
    <row r="181" spans="1:40" x14ac:dyDescent="0.25">
      <c r="A181" s="296"/>
      <c r="B181" s="312"/>
      <c r="C181" s="262"/>
      <c r="D181" s="291" t="s">
        <v>1189</v>
      </c>
      <c r="E181" s="187">
        <f>E180-$D$180</f>
        <v>113.28932384507425</v>
      </c>
      <c r="F181" s="187">
        <f>F180-$D$180</f>
        <v>374.31826514705972</v>
      </c>
      <c r="G181" s="187">
        <f>G180-$D$180</f>
        <v>648.53177035229419</v>
      </c>
      <c r="H181" s="187">
        <f>H180-$D$180</f>
        <v>698.11533511599737</v>
      </c>
      <c r="I181" s="187">
        <f>I180-$D$180</f>
        <v>818.13575260987818</v>
      </c>
      <c r="J181" s="296"/>
      <c r="K181" s="296"/>
      <c r="L181" s="592"/>
      <c r="M181" s="300">
        <f>M180-$L$180</f>
        <v>0</v>
      </c>
      <c r="N181" s="300">
        <f>N180-$L$180</f>
        <v>0</v>
      </c>
      <c r="O181" s="300">
        <f>O180-$L$180</f>
        <v>0</v>
      </c>
      <c r="P181" s="300">
        <f>P180-$L$180</f>
        <v>0</v>
      </c>
      <c r="Q181" s="300">
        <f>Q180-$L$180</f>
        <v>0</v>
      </c>
      <c r="V181" s="133"/>
    </row>
    <row r="182" spans="1:40" x14ac:dyDescent="0.25">
      <c r="A182" s="296"/>
      <c r="B182" s="296"/>
      <c r="C182" s="225"/>
      <c r="D182" s="296"/>
      <c r="E182" s="296"/>
      <c r="F182" s="296"/>
      <c r="G182" s="296"/>
      <c r="H182" s="296"/>
      <c r="I182" s="225"/>
      <c r="J182" s="225"/>
      <c r="K182" s="225"/>
      <c r="L182" s="225"/>
      <c r="M182" s="225"/>
      <c r="N182" s="225"/>
      <c r="O182" s="225"/>
      <c r="P182" s="225"/>
      <c r="Q182" s="225"/>
      <c r="V182" s="133"/>
    </row>
    <row r="183" spans="1:40" x14ac:dyDescent="0.25">
      <c r="A183" s="296"/>
      <c r="B183" s="409" t="s">
        <v>1190</v>
      </c>
      <c r="C183" s="410"/>
      <c r="D183" s="410"/>
      <c r="E183" s="410"/>
      <c r="F183" s="410"/>
      <c r="G183" s="410"/>
      <c r="H183" s="410"/>
      <c r="I183" s="224"/>
      <c r="J183" s="225"/>
      <c r="K183" s="225"/>
      <c r="L183" s="443"/>
      <c r="M183" s="443"/>
      <c r="N183" s="443"/>
      <c r="O183" s="443"/>
      <c r="P183" s="443"/>
      <c r="Q183" s="443"/>
      <c r="V183" s="133"/>
    </row>
    <row r="184" spans="1:40" ht="60" x14ac:dyDescent="0.25">
      <c r="A184" s="296"/>
      <c r="B184" s="285" t="s">
        <v>131</v>
      </c>
      <c r="C184" s="166" t="s">
        <v>1191</v>
      </c>
      <c r="D184" s="434" t="s">
        <v>743</v>
      </c>
      <c r="E184" s="261" t="s">
        <v>51</v>
      </c>
      <c r="F184" s="261" t="s">
        <v>52</v>
      </c>
      <c r="G184" s="165" t="s">
        <v>744</v>
      </c>
      <c r="H184" s="165" t="s">
        <v>745</v>
      </c>
      <c r="I184" s="261" t="s">
        <v>746</v>
      </c>
      <c r="J184" s="296"/>
      <c r="K184" s="746" t="s">
        <v>1252</v>
      </c>
      <c r="L184" s="434" t="s">
        <v>743</v>
      </c>
      <c r="M184" s="261" t="s">
        <v>51</v>
      </c>
      <c r="N184" s="261" t="s">
        <v>52</v>
      </c>
      <c r="O184" s="165" t="s">
        <v>744</v>
      </c>
      <c r="P184" s="165" t="s">
        <v>745</v>
      </c>
      <c r="Q184" s="261" t="s">
        <v>746</v>
      </c>
      <c r="V184" s="133"/>
    </row>
    <row r="185" spans="1:40" x14ac:dyDescent="0.25">
      <c r="A185" s="296"/>
      <c r="B185" s="358" t="s">
        <v>1247</v>
      </c>
      <c r="C185" s="149">
        <f>'Inputs and eligible population'!K118</f>
        <v>6.76</v>
      </c>
      <c r="D185" s="128">
        <f>D$7*'Inputs and eligible population'!E$79*$C185</f>
        <v>0</v>
      </c>
      <c r="E185" s="128">
        <f>E$7*'Inputs and eligible population'!F$79*$C185</f>
        <v>2056.2690769006413</v>
      </c>
      <c r="F185" s="128">
        <f>F$7*'Inputs and eligible population'!G$79*$C185+(E$7*'Inputs and eligible population'!F$79*('Unit costs'!$O$61/'Unit costs'!$O$56)*$C185)</f>
        <v>4440.8143188256645</v>
      </c>
      <c r="G185" s="128">
        <f>G$7*'Inputs and eligible population'!H$79*$C185+(F$7*'Inputs and eligible population'!G$79*('Unit costs'!$O$61/'Unit costs'!$O$56)*$C185)</f>
        <v>4654.0564619146644</v>
      </c>
      <c r="H185" s="128">
        <f>H$7*'Inputs and eligible population'!I$79*$C185+(G$7*'Inputs and eligible population'!H$79*('Unit costs'!$O$61/'Unit costs'!$O$56)*$C185)</f>
        <v>4698.9299782466996</v>
      </c>
      <c r="I185" s="128">
        <f>I$7*'Inputs and eligible population'!J$79*$C185+(H$7*'Inputs and eligible population'!I$79*('Unit costs'!$O$61/'Unit costs'!$O$56)*$C185)</f>
        <v>4744.2361563834374</v>
      </c>
      <c r="J185" s="296"/>
      <c r="K185" s="747">
        <f>'Inputs and eligible population'!$Q$119</f>
        <v>31.51</v>
      </c>
      <c r="L185" s="299">
        <f>(D185*'Inputs and eligible population'!$F$119/60*'Inputs and eligible population'!$Q$119)/1000</f>
        <v>0</v>
      </c>
      <c r="M185" s="299">
        <f>(E185*'Inputs and eligible population'!$F$119/60*'Inputs and eligible population'!$Q$119)/1000</f>
        <v>0</v>
      </c>
      <c r="N185" s="299">
        <f>(F185*'Inputs and eligible population'!$F$119/60*'Inputs and eligible population'!$Q$119)/1000</f>
        <v>0</v>
      </c>
      <c r="O185" s="299">
        <f>(G185*'Inputs and eligible population'!$F$119/60*'Inputs and eligible population'!$Q$119)/1000</f>
        <v>0</v>
      </c>
      <c r="P185" s="299">
        <f>(H185*'Inputs and eligible population'!$F$119/60*'Inputs and eligible population'!$Q$119)/1000</f>
        <v>0</v>
      </c>
      <c r="Q185" s="299">
        <f>(I185*'Inputs and eligible population'!$F$119/60*'Inputs and eligible population'!$Q$119)/1000</f>
        <v>0</v>
      </c>
      <c r="V185" s="133"/>
    </row>
    <row r="186" spans="1:40" x14ac:dyDescent="0.25">
      <c r="A186" s="296"/>
      <c r="B186" s="358" t="s">
        <v>1125</v>
      </c>
      <c r="C186" s="149">
        <f>'Inputs and eligible population'!L118</f>
        <v>6.76</v>
      </c>
      <c r="D186" s="128">
        <f>'Financial impact (cash)'!$D$40*$C$186+('Financial impact (cash)'!$D$40*('Unit costs'!$O$85/'Unit costs'!$O$80)*$C$186)</f>
        <v>8210.1738012189635</v>
      </c>
      <c r="E186" s="128">
        <f>'Financial impact (cash)'!$E$40*$C$186+('Financial impact (cash)'!$D$40*('Unit costs'!$O$85/'Unit costs'!$O$80)*$C$186)</f>
        <v>6168.8072307019238</v>
      </c>
      <c r="F186" s="128">
        <f>'Financial impact (cash)'!$F$40*$C$186+('Financial impact (cash)'!$E$40*('Unit costs'!$O$85/'Unit costs'!$O$80)*$C$186)</f>
        <v>4022.4345031536614</v>
      </c>
      <c r="G186" s="128">
        <f>'Financial impact (cash)'!$G$40*$C$186+('Financial impact (cash)'!$F$40*('Unit costs'!$O$85/'Unit costs'!$O$80)*$C$186)</f>
        <v>4061.2180421693338</v>
      </c>
      <c r="H186" s="128">
        <f>'Financial impact (cash)'!$G$40*$C$186+('Financial impact (cash)'!$H$40*('Unit costs'!$O$85/'Unit costs'!$O$80)*$C$186)</f>
        <v>4061.2180421693338</v>
      </c>
      <c r="I186" s="128">
        <f>'Financial impact (cash)'!$H$40*$C$186+('Financial impact (cash)'!$I$40*('Unit costs'!$O$85/'Unit costs'!$O$80)*$C$186)</f>
        <v>4100.3755246009641</v>
      </c>
      <c r="J186" s="296"/>
      <c r="K186" s="747">
        <f>'Inputs and eligible population'!$Q$119</f>
        <v>31.51</v>
      </c>
      <c r="L186" s="299">
        <f>(D186*'Inputs and eligible population'!$F$119/60*'Inputs and eligible population'!$Q$119)/1000</f>
        <v>0</v>
      </c>
      <c r="M186" s="299">
        <f>(E186*'Inputs and eligible population'!$F$119/60*'Inputs and eligible population'!$Q$119)/1000</f>
        <v>0</v>
      </c>
      <c r="N186" s="299">
        <f>(F186*'Inputs and eligible population'!$F$119/60*'Inputs and eligible population'!$Q$119)/1000</f>
        <v>0</v>
      </c>
      <c r="O186" s="299">
        <f>(G186*'Inputs and eligible population'!$F$119/60*'Inputs and eligible population'!$Q$119)/1000</f>
        <v>0</v>
      </c>
      <c r="P186" s="299">
        <f>(H186*'Inputs and eligible population'!$F$119/60*'Inputs and eligible population'!$Q$119)/1000</f>
        <v>0</v>
      </c>
      <c r="Q186" s="299">
        <f>(I186*'Inputs and eligible population'!$F$119/60*'Inputs and eligible population'!$Q$119)/1000</f>
        <v>0</v>
      </c>
      <c r="V186" s="133"/>
    </row>
    <row r="187" spans="1:40" x14ac:dyDescent="0.25">
      <c r="A187" s="296"/>
      <c r="B187" s="358" t="s">
        <v>1248</v>
      </c>
      <c r="C187" s="149">
        <f>'Inputs and eligible population'!M118</f>
        <v>6.76</v>
      </c>
      <c r="D187" s="128">
        <f>D$7*'Inputs and eligible population'!E$81*$C187</f>
        <v>827.38185593679475</v>
      </c>
      <c r="E187" s="128">
        <f>E$7*'Inputs and eligible population'!F$81*$C187</f>
        <v>899.61772114403061</v>
      </c>
      <c r="F187" s="128">
        <f>F$7*'Inputs and eligible population'!G$81*$C187</f>
        <v>908.29166200243981</v>
      </c>
      <c r="G187" s="128">
        <f>G$7*'Inputs and eligible population'!H$81*$C187</f>
        <v>917.04923532855946</v>
      </c>
      <c r="H187" s="128">
        <f>H$7*'Inputs and eligible population'!I$81*$C187</f>
        <v>925.89124749054042</v>
      </c>
      <c r="I187" s="128">
        <f>I$7*'Inputs and eligible population'!J$81*$C187</f>
        <v>934.81851263138105</v>
      </c>
      <c r="J187" s="296"/>
      <c r="K187" s="747">
        <f>'Inputs and eligible population'!$Q$119</f>
        <v>31.51</v>
      </c>
      <c r="L187" s="299">
        <f>(D187*'Inputs and eligible population'!$F$119/60*'Inputs and eligible population'!$Q$119)/1000</f>
        <v>0</v>
      </c>
      <c r="M187" s="299">
        <f>(E187*'Inputs and eligible population'!$F$119/60*'Inputs and eligible population'!$Q$119)/1000</f>
        <v>0</v>
      </c>
      <c r="N187" s="299">
        <f>(F187*'Inputs and eligible population'!$F$119/60*'Inputs and eligible population'!$Q$119)/1000</f>
        <v>0</v>
      </c>
      <c r="O187" s="299">
        <f>(G187*'Inputs and eligible population'!$F$119/60*'Inputs and eligible population'!$Q$119)/1000</f>
        <v>0</v>
      </c>
      <c r="P187" s="299">
        <f>(H187*'Inputs and eligible population'!$F$119/60*'Inputs and eligible population'!$Q$119)/1000</f>
        <v>0</v>
      </c>
      <c r="Q187" s="299">
        <f>(I187*'Inputs and eligible population'!$F$119/60*'Inputs and eligible population'!$Q$119)/1000</f>
        <v>0</v>
      </c>
      <c r="V187" s="133"/>
    </row>
    <row r="188" spans="1:40" x14ac:dyDescent="0.25">
      <c r="A188" s="296"/>
      <c r="B188" s="358" t="s">
        <v>1251</v>
      </c>
      <c r="C188" s="149">
        <f>'Inputs and eligible population'!N118</f>
        <v>6.76</v>
      </c>
      <c r="D188" s="128">
        <f>'Financial impact (cash)'!$D$42*$C$188+('Financial impact (cash)'!$D$42*('Unit costs'!$O$85/'Unit costs'!$O$80)*$C$188)</f>
        <v>3691.395972641084</v>
      </c>
      <c r="E188" s="128">
        <f>'Financial impact (cash)'!$E$42*$C$188+('Financial impact (cash)'!$D$42*('Unit costs'!$O$85/'Unit costs'!$O$80)*$C$188)</f>
        <v>3726.9877018824122</v>
      </c>
      <c r="F188" s="128">
        <f>'Financial impact (cash)'!$F$42*$C$188+('Financial impact (cash)'!$E$42*('Unit costs'!$O$85/'Unit costs'!$O$80)*$C$188)</f>
        <v>3762.9225997243925</v>
      </c>
      <c r="G188" s="128">
        <f>'Financial impact (cash)'!$G$42*$C$188+('Financial impact (cash)'!$F$42*('Unit costs'!$O$85/'Unit costs'!$O$80)*$C$188)</f>
        <v>3799.2039749326023</v>
      </c>
      <c r="H188" s="128">
        <f>'Financial impact (cash)'!$G$42*$C$188+('Financial impact (cash)'!$H$42*('Unit costs'!$O$85/'Unit costs'!$O$80)*$C$188)</f>
        <v>3799.2039749326023</v>
      </c>
      <c r="I188" s="128">
        <f>'Financial impact (cash)'!$H$42*$C$188+('Financial impact (cash)'!$I$42*('Unit costs'!$O$85/'Unit costs'!$O$80)*$C$188)</f>
        <v>3835.8351681750951</v>
      </c>
      <c r="J188" s="296"/>
      <c r="K188" s="747">
        <f>'Inputs and eligible population'!$Q$119</f>
        <v>31.51</v>
      </c>
      <c r="L188" s="299">
        <f>(D188*'Inputs and eligible population'!$F$119/60*'Inputs and eligible population'!$Q$119)/1000</f>
        <v>0</v>
      </c>
      <c r="M188" s="299">
        <f>(E188*'Inputs and eligible population'!$F$119/60*'Inputs and eligible population'!$Q$119)/1000</f>
        <v>0</v>
      </c>
      <c r="N188" s="299">
        <f>(F188*'Inputs and eligible population'!$F$119/60*'Inputs and eligible population'!$Q$119)/1000</f>
        <v>0</v>
      </c>
      <c r="O188" s="299">
        <f>(G188*'Inputs and eligible population'!$F$119/60*'Inputs and eligible population'!$Q$119)/1000</f>
        <v>0</v>
      </c>
      <c r="P188" s="299">
        <f>(H188*'Inputs and eligible population'!$F$119/60*'Inputs and eligible population'!$Q$119)/1000</f>
        <v>0</v>
      </c>
      <c r="Q188" s="299">
        <f>(I188*'Inputs and eligible population'!$F$119/60*'Inputs and eligible population'!$Q$119)/1000</f>
        <v>0</v>
      </c>
      <c r="V188" s="133"/>
    </row>
    <row r="189" spans="1:40" x14ac:dyDescent="0.25">
      <c r="A189" s="296"/>
      <c r="B189" s="289"/>
      <c r="C189" s="209"/>
      <c r="D189" s="187">
        <f t="shared" ref="D189:I189" si="87">SUM(D185:D188)</f>
        <v>12728.951629796844</v>
      </c>
      <c r="E189" s="187">
        <f t="shared" si="87"/>
        <v>12851.681730629007</v>
      </c>
      <c r="F189" s="187">
        <f t="shared" si="87"/>
        <v>13134.46308370616</v>
      </c>
      <c r="G189" s="187">
        <f t="shared" si="87"/>
        <v>13431.52771434516</v>
      </c>
      <c r="H189" s="187">
        <f t="shared" si="87"/>
        <v>13485.243242839177</v>
      </c>
      <c r="I189" s="187">
        <f t="shared" si="87"/>
        <v>13615.265361790878</v>
      </c>
      <c r="J189" s="296"/>
      <c r="K189" s="296"/>
      <c r="L189" s="300">
        <f t="shared" ref="L189:Q189" si="88">SUM(L185:L188)</f>
        <v>0</v>
      </c>
      <c r="M189" s="300">
        <f t="shared" si="88"/>
        <v>0</v>
      </c>
      <c r="N189" s="300">
        <f t="shared" si="88"/>
        <v>0</v>
      </c>
      <c r="O189" s="300">
        <f t="shared" si="88"/>
        <v>0</v>
      </c>
      <c r="P189" s="300">
        <f t="shared" si="88"/>
        <v>0</v>
      </c>
      <c r="Q189" s="300">
        <f t="shared" si="88"/>
        <v>0</v>
      </c>
      <c r="V189" s="133"/>
    </row>
    <row r="190" spans="1:40" x14ac:dyDescent="0.25">
      <c r="A190" s="296"/>
      <c r="B190" s="312"/>
      <c r="C190" s="262"/>
      <c r="D190" s="291" t="s">
        <v>1192</v>
      </c>
      <c r="E190" s="187">
        <f>E189-$D$189</f>
        <v>122.73010083216286</v>
      </c>
      <c r="F190" s="187">
        <f>F189-$D$189</f>
        <v>405.51145390931561</v>
      </c>
      <c r="G190" s="187">
        <f>G189-$D$189</f>
        <v>702.57608454831643</v>
      </c>
      <c r="H190" s="187">
        <f>H189-$D$189</f>
        <v>756.29161304233276</v>
      </c>
      <c r="I190" s="187">
        <f>I189-$D$189</f>
        <v>886.31373199403424</v>
      </c>
      <c r="J190" s="296"/>
      <c r="K190" s="296"/>
      <c r="L190" s="592"/>
      <c r="M190" s="300">
        <f>M189-$L$189</f>
        <v>0</v>
      </c>
      <c r="N190" s="300">
        <f>N189-$L$189</f>
        <v>0</v>
      </c>
      <c r="O190" s="300">
        <f>O189-$L$189</f>
        <v>0</v>
      </c>
      <c r="P190" s="300">
        <f>P189-$L$189</f>
        <v>0</v>
      </c>
      <c r="Q190" s="300">
        <f>Q189-$L$189</f>
        <v>0</v>
      </c>
      <c r="V190" s="133"/>
    </row>
    <row r="191" spans="1:40" x14ac:dyDescent="0.25">
      <c r="A191" s="296"/>
      <c r="B191" s="296"/>
      <c r="C191" s="225"/>
      <c r="D191" s="296"/>
      <c r="E191" s="296"/>
      <c r="F191" s="296"/>
      <c r="G191" s="296"/>
      <c r="H191" s="296"/>
      <c r="I191" s="225"/>
      <c r="J191" s="225"/>
      <c r="K191" s="225"/>
      <c r="L191" s="225"/>
      <c r="M191" s="225"/>
      <c r="N191" s="225"/>
      <c r="O191" s="225"/>
      <c r="P191" s="225"/>
      <c r="Q191" s="225"/>
      <c r="V191" s="133"/>
    </row>
    <row r="192" spans="1:40" x14ac:dyDescent="0.25">
      <c r="A192" s="297"/>
      <c r="B192" s="336" t="s">
        <v>103</v>
      </c>
      <c r="C192" s="322"/>
      <c r="D192" s="323"/>
      <c r="E192" s="324"/>
      <c r="F192" s="325"/>
      <c r="G192" s="325"/>
      <c r="H192" s="325"/>
      <c r="I192" s="444"/>
      <c r="J192" s="450"/>
      <c r="K192" s="297"/>
      <c r="L192" s="297"/>
      <c r="M192" s="297"/>
      <c r="N192" s="297"/>
      <c r="O192" s="297"/>
      <c r="P192" s="297"/>
      <c r="Q192" s="297"/>
      <c r="R192" s="133"/>
      <c r="S192" s="133"/>
      <c r="T192" s="133"/>
      <c r="U192" s="133"/>
      <c r="V192" s="133"/>
      <c r="W192" s="133"/>
      <c r="X192" s="133"/>
      <c r="Y192" s="133"/>
      <c r="Z192" s="133"/>
      <c r="AJ192" s="292"/>
      <c r="AK192" s="292"/>
      <c r="AL192" s="292"/>
      <c r="AM192" s="292"/>
      <c r="AN192" s="292"/>
    </row>
    <row r="193" spans="1:40" x14ac:dyDescent="0.25">
      <c r="A193" s="297"/>
      <c r="B193" s="411" t="s">
        <v>777</v>
      </c>
      <c r="C193" s="412"/>
      <c r="D193" s="412"/>
      <c r="E193" s="412"/>
      <c r="F193" s="412"/>
      <c r="G193" s="412"/>
      <c r="H193" s="412"/>
      <c r="I193" s="226"/>
      <c r="J193" s="448"/>
      <c r="K193" s="448"/>
      <c r="L193" s="449"/>
      <c r="M193" s="449"/>
      <c r="N193" s="449"/>
      <c r="O193" s="449"/>
      <c r="P193" s="449"/>
      <c r="Q193" s="449"/>
      <c r="R193" s="133"/>
      <c r="S193" s="133"/>
      <c r="T193" s="133"/>
      <c r="U193" s="133"/>
      <c r="V193" s="133"/>
      <c r="W193" s="133"/>
      <c r="X193" s="133"/>
      <c r="Y193" s="133"/>
      <c r="Z193" s="133"/>
      <c r="AJ193" s="292"/>
      <c r="AK193" s="292"/>
      <c r="AL193" s="292"/>
      <c r="AM193" s="292"/>
      <c r="AN193" s="292"/>
    </row>
    <row r="194" spans="1:40" ht="45" x14ac:dyDescent="0.25">
      <c r="A194" s="297"/>
      <c r="B194" s="285" t="s">
        <v>131</v>
      </c>
      <c r="C194" s="211"/>
      <c r="D194" s="434" t="s">
        <v>743</v>
      </c>
      <c r="E194" s="261" t="s">
        <v>51</v>
      </c>
      <c r="F194" s="261" t="s">
        <v>52</v>
      </c>
      <c r="G194" s="165" t="s">
        <v>744</v>
      </c>
      <c r="H194" s="165" t="s">
        <v>745</v>
      </c>
      <c r="I194" s="261" t="s">
        <v>746</v>
      </c>
      <c r="J194" s="297"/>
      <c r="K194" s="297"/>
      <c r="L194" s="434" t="s">
        <v>743</v>
      </c>
      <c r="M194" s="261" t="s">
        <v>51</v>
      </c>
      <c r="N194" s="261" t="s">
        <v>52</v>
      </c>
      <c r="O194" s="165" t="s">
        <v>744</v>
      </c>
      <c r="P194" s="165" t="s">
        <v>745</v>
      </c>
      <c r="Q194" s="261" t="s">
        <v>746</v>
      </c>
      <c r="R194" s="133"/>
      <c r="S194" s="133"/>
      <c r="T194" s="133"/>
      <c r="U194" s="133"/>
      <c r="V194" s="133"/>
      <c r="W194" s="133"/>
      <c r="X194" s="133"/>
      <c r="Y194" s="133"/>
      <c r="Z194" s="133"/>
      <c r="AJ194" s="292"/>
      <c r="AK194" s="292"/>
      <c r="AL194" s="292"/>
      <c r="AM194" s="292"/>
      <c r="AN194" s="292"/>
    </row>
    <row r="195" spans="1:40" x14ac:dyDescent="0.25">
      <c r="A195" s="297"/>
      <c r="B195" s="253" t="s">
        <v>1106</v>
      </c>
      <c r="C195" s="168"/>
      <c r="D195" s="128">
        <f>('Unit costs'!$C157*'Financial impact (cash)'!D$39)+('Unit costs'!$E157*'Financial impact (cash)'!D$41)+('Unit costs'!$F157*'Financial impact (cash)'!D$42)+('Unit costs'!$D157*'Financial impact (cash)'!D$40)</f>
        <v>82.103535798306595</v>
      </c>
      <c r="E195" s="128">
        <f>('Unit costs'!$C157*'Financial impact (cash)'!E$39)+('Unit costs'!$E157*'Financial impact (cash)'!E$41)+('Unit costs'!$F157*'Financial impact (cash)'!E$42)+('Unit costs'!$D157*'Financial impact (cash)'!E$40)</f>
        <v>134.3720850088153</v>
      </c>
      <c r="F195" s="128">
        <f>('Unit costs'!$C157*'Financial impact (cash)'!F$39)+('Unit costs'!$E157*'Financial impact (cash)'!F$41)+('Unit costs'!$F157*'Financial impact (cash)'!F$42)+('Unit costs'!$D157*'Financial impact (cash)'!F$40)</f>
        <v>189.2158751548105</v>
      </c>
      <c r="G195" s="128">
        <f>('Unit costs'!$C157*'Financial impact (cash)'!G$39)+('Unit costs'!$E157*'Financial impact (cash)'!G$41)+('Unit costs'!$F157*'Financial impact (cash)'!G$42)+('Unit costs'!$D157*'Financial impact (cash)'!G$40)</f>
        <v>191.04025819217205</v>
      </c>
      <c r="H195" s="128">
        <f>('Unit costs'!$C157*'Financial impact (cash)'!H$39)+('Unit costs'!$E157*'Financial impact (cash)'!H$41)+('Unit costs'!$F157*'Financial impact (cash)'!H$42)+('Unit costs'!$D157*'Financial impact (cash)'!H$40)</f>
        <v>192.88223157952021</v>
      </c>
      <c r="I195" s="128">
        <f>('Unit costs'!$C157*'Financial impact (cash)'!I$39)+('Unit costs'!$E157*'Financial impact (cash)'!I$41)+('Unit costs'!$F157*'Financial impact (cash)'!I$42)+('Unit costs'!$D157*'Financial impact (cash)'!I$40)</f>
        <v>194.74196491962286</v>
      </c>
      <c r="J195" s="297"/>
      <c r="K195" s="297"/>
      <c r="L195" s="299">
        <f>(D195*'Unit costs'!$P137)/1000</f>
        <v>56.850418656316371</v>
      </c>
      <c r="M195" s="299">
        <f>(E195*'Unit costs'!$P137)/1000</f>
        <v>93.042391100418868</v>
      </c>
      <c r="N195" s="299">
        <f>(F195*'Unit costs'!$P137)/1000</f>
        <v>131.01752091892411</v>
      </c>
      <c r="O195" s="299">
        <f>(G195*'Unit costs'!$P137)/1000</f>
        <v>132.28076663002571</v>
      </c>
      <c r="P195" s="299">
        <f>(H195*'Unit costs'!$P137)/1000</f>
        <v>133.55619231305329</v>
      </c>
      <c r="Q195" s="299">
        <f>(I195*'Unit costs'!$P137)/1000</f>
        <v>134.84391540495119</v>
      </c>
      <c r="R195" s="133"/>
      <c r="S195" s="133"/>
      <c r="T195" s="133"/>
      <c r="U195" s="133"/>
      <c r="V195" s="133"/>
      <c r="W195" s="133"/>
      <c r="X195" s="133"/>
      <c r="Y195" s="133"/>
      <c r="Z195" s="133"/>
      <c r="AJ195" s="292"/>
      <c r="AK195" s="292"/>
      <c r="AL195" s="292"/>
      <c r="AM195" s="292"/>
      <c r="AN195" s="292"/>
    </row>
    <row r="196" spans="1:40" x14ac:dyDescent="0.25">
      <c r="A196" s="297"/>
      <c r="B196" s="253" t="s">
        <v>1107</v>
      </c>
      <c r="C196" s="168"/>
      <c r="D196" s="128">
        <f>('Unit costs'!$C158*'Financial impact (cash)'!D$39)+('Unit costs'!$E158*'Financial impact (cash)'!D$41)+('Unit costs'!$F158*'Financial impact (cash)'!D$42)+('Unit costs'!$D158*'Financial impact (cash)'!D$40)</f>
        <v>10.042565388399876</v>
      </c>
      <c r="E196" s="128">
        <f>('Unit costs'!$C158*'Financial impact (cash)'!E$39)+('Unit costs'!$E158*'Financial impact (cash)'!E$41)+('Unit costs'!$F158*'Financial impact (cash)'!E$42)+('Unit costs'!$D158*'Financial impact (cash)'!E$40)</f>
        <v>35.877855233435554</v>
      </c>
      <c r="F196" s="128">
        <f>('Unit costs'!$C158*'Financial impact (cash)'!F$39)+('Unit costs'!$E158*'Financial impact (cash)'!F$41)+('Unit costs'!$F158*'Financial impact (cash)'!F$42)+('Unit costs'!$D158*'Financial impact (cash)'!F$40)</f>
        <v>62.997882792721825</v>
      </c>
      <c r="G196" s="128">
        <f>('Unit costs'!$C158*'Financial impact (cash)'!G$39)+('Unit costs'!$E158*'Financial impact (cash)'!G$41)+('Unit costs'!$F158*'Financial impact (cash)'!G$42)+('Unit costs'!$D158*'Financial impact (cash)'!G$40)</f>
        <v>63.605296249244432</v>
      </c>
      <c r="H196" s="128">
        <f>('Unit costs'!$C158*'Financial impact (cash)'!H$39)+('Unit costs'!$E158*'Financial impact (cash)'!H$41)+('Unit costs'!$F158*'Financial impact (cash)'!H$42)+('Unit costs'!$D158*'Financial impact (cash)'!H$40)</f>
        <v>64.218566269365795</v>
      </c>
      <c r="I196" s="128">
        <f>('Unit costs'!$C158*'Financial impact (cash)'!I$39)+('Unit costs'!$E158*'Financial impact (cash)'!I$41)+('Unit costs'!$F158*'Financial impact (cash)'!I$42)+('Unit costs'!$D158*'Financial impact (cash)'!I$40)</f>
        <v>64.837749320944567</v>
      </c>
      <c r="J196" s="297"/>
      <c r="K196" s="297"/>
      <c r="L196" s="299">
        <f>(D196*'Unit costs'!$P138)/1000</f>
        <v>16.190739916966283</v>
      </c>
      <c r="M196" s="299">
        <f>(E196*'Unit costs'!$P138)/1000</f>
        <v>57.842692618571853</v>
      </c>
      <c r="N196" s="299">
        <f>(F196*'Unit costs'!$P138)/1000</f>
        <v>101.56591430260059</v>
      </c>
      <c r="O196" s="299">
        <f>(G196*'Unit costs'!$P138)/1000</f>
        <v>102.54519329320421</v>
      </c>
      <c r="P196" s="299">
        <f>(H196*'Unit costs'!$P138)/1000</f>
        <v>103.53391430328864</v>
      </c>
      <c r="Q196" s="299">
        <f>(I196*'Unit costs'!$P138)/1000</f>
        <v>104.53216837098785</v>
      </c>
      <c r="R196" s="133"/>
      <c r="S196" s="133"/>
      <c r="T196" s="133"/>
      <c r="U196" s="133"/>
      <c r="V196" s="133"/>
      <c r="W196" s="133"/>
      <c r="X196" s="133"/>
      <c r="Y196" s="133"/>
      <c r="Z196" s="133"/>
      <c r="AJ196" s="292"/>
      <c r="AK196" s="292"/>
      <c r="AL196" s="292"/>
      <c r="AM196" s="292"/>
      <c r="AN196" s="292"/>
    </row>
    <row r="197" spans="1:40" x14ac:dyDescent="0.25">
      <c r="A197" s="297"/>
      <c r="B197" s="253" t="s">
        <v>1108</v>
      </c>
      <c r="C197" s="168"/>
      <c r="D197" s="128">
        <f>('Unit costs'!$C159*'Financial impact (cash)'!D$39)+('Unit costs'!$E159*'Financial impact (cash)'!D$41)+('Unit costs'!$F159*'Financial impact (cash)'!D$42)+('Unit costs'!$D159*'Financial impact (cash)'!D$40)</f>
        <v>42.548763882431047</v>
      </c>
      <c r="E197" s="128">
        <f>('Unit costs'!$C159*'Financial impact (cash)'!E$39)+('Unit costs'!$E159*'Financial impact (cash)'!E$41)+('Unit costs'!$F159*'Financial impact (cash)'!E$42)+('Unit costs'!$D159*'Financial impact (cash)'!E$40)</f>
        <v>78.349395245899245</v>
      </c>
      <c r="F197" s="128">
        <f>('Unit costs'!$C159*'Financial impact (cash)'!F$39)+('Unit costs'!$E159*'Financial impact (cash)'!F$41)+('Unit costs'!$F159*'Financial impact (cash)'!F$42)+('Unit costs'!$D159*'Financial impact (cash)'!F$40)</f>
        <v>115.91921278677229</v>
      </c>
      <c r="G197" s="128">
        <f>('Unit costs'!$C159*'Financial impact (cash)'!G$39)+('Unit costs'!$E159*'Financial impact (cash)'!G$41)+('Unit costs'!$F159*'Financial impact (cash)'!G$42)+('Unit costs'!$D159*'Financial impact (cash)'!G$40)</f>
        <v>117.03688351783256</v>
      </c>
      <c r="H197" s="128">
        <f>('Unit costs'!$C159*'Financial impact (cash)'!H$39)+('Unit costs'!$E159*'Financial impact (cash)'!H$41)+('Unit costs'!$F159*'Financial impact (cash)'!H$42)+('Unit costs'!$D159*'Financial impact (cash)'!H$40)</f>
        <v>118.16533061488975</v>
      </c>
      <c r="I197" s="128">
        <f>('Unit costs'!$C159*'Financial impact (cash)'!I$39)+('Unit costs'!$E159*'Financial impact (cash)'!I$41)+('Unit costs'!$F159*'Financial impact (cash)'!I$42)+('Unit costs'!$D159*'Financial impact (cash)'!I$40)</f>
        <v>119.30465798159003</v>
      </c>
      <c r="J197" s="297"/>
      <c r="K197" s="297"/>
      <c r="L197" s="299">
        <f>(D197*'Unit costs'!$P139)/1000</f>
        <v>27.812525888120629</v>
      </c>
      <c r="M197" s="299">
        <f>(E197*'Unit costs'!$P139)/1000</f>
        <v>51.214051473183815</v>
      </c>
      <c r="N197" s="299">
        <f>(F197*'Unit costs'!$P139)/1000</f>
        <v>75.772027489943213</v>
      </c>
      <c r="O197" s="299">
        <f>(G197*'Unit costs'!$P139)/1000</f>
        <v>76.502606790152768</v>
      </c>
      <c r="P197" s="299">
        <f>(H197*'Unit costs'!$P139)/1000</f>
        <v>77.24023019531208</v>
      </c>
      <c r="Q197" s="299">
        <f>(I197*'Unit costs'!$P139)/1000</f>
        <v>77.984965623324825</v>
      </c>
      <c r="R197" s="133"/>
      <c r="S197" s="133"/>
      <c r="T197" s="133"/>
      <c r="U197" s="133"/>
      <c r="V197" s="133"/>
      <c r="W197" s="133"/>
      <c r="X197" s="133"/>
      <c r="Y197" s="133"/>
      <c r="Z197" s="133"/>
      <c r="AJ197" s="292"/>
      <c r="AK197" s="292"/>
      <c r="AL197" s="292"/>
      <c r="AM197" s="292"/>
      <c r="AN197" s="292"/>
    </row>
    <row r="198" spans="1:40" x14ac:dyDescent="0.25">
      <c r="A198" s="297"/>
      <c r="B198" s="253" t="s">
        <v>1109</v>
      </c>
      <c r="C198" s="168"/>
      <c r="D198" s="128">
        <f>('Unit costs'!$C160*'Financial impact (cash)'!D$39)+('Unit costs'!$E160*'Financial impact (cash)'!D$41)+('Unit costs'!$F160*'Financial impact (cash)'!D$42)+('Unit costs'!$D160*'Financial impact (cash)'!D$40)</f>
        <v>371.82397376577461</v>
      </c>
      <c r="E198" s="128">
        <f>('Unit costs'!$C160*'Financial impact (cash)'!E$39)+('Unit costs'!$E160*'Financial impact (cash)'!E$41)+('Unit costs'!$F160*'Financial impact (cash)'!E$42)+('Unit costs'!$D160*'Financial impact (cash)'!E$40)</f>
        <v>316.45883248250499</v>
      </c>
      <c r="F198" s="128">
        <f>('Unit costs'!$C160*'Financial impact (cash)'!F$39)+('Unit costs'!$E160*'Financial impact (cash)'!F$41)+('Unit costs'!$F160*'Financial impact (cash)'!F$42)+('Unit costs'!$D160*'Financial impact (cash)'!F$40)</f>
        <v>258.18789130165146</v>
      </c>
      <c r="G198" s="128">
        <f>('Unit costs'!$C160*'Financial impact (cash)'!G$39)+('Unit costs'!$E160*'Financial impact (cash)'!G$41)+('Unit costs'!$F160*'Financial impact (cash)'!G$42)+('Unit costs'!$D160*'Financial impact (cash)'!G$40)</f>
        <v>260.67728923909988</v>
      </c>
      <c r="H198" s="128">
        <f>('Unit costs'!$C160*'Financial impact (cash)'!H$39)+('Unit costs'!$E160*'Financial impact (cash)'!H$41)+('Unit costs'!$F160*'Financial impact (cash)'!H$42)+('Unit costs'!$D160*'Financial impact (cash)'!H$40)</f>
        <v>263.19068947216215</v>
      </c>
      <c r="I198" s="128">
        <f>('Unit costs'!$C160*'Financial impact (cash)'!I$39)+('Unit costs'!$E160*'Financial impact (cash)'!I$41)+('Unit costs'!$F160*'Financial impact (cash)'!I$42)+('Unit costs'!$D160*'Financial impact (cash)'!I$40)</f>
        <v>265.72832342635138</v>
      </c>
      <c r="J198" s="297"/>
      <c r="K198" s="297"/>
      <c r="L198" s="299">
        <f>(D198*'Unit costs'!$P140)/1000</f>
        <v>423.12470796359571</v>
      </c>
      <c r="M198" s="299">
        <f>(E198*'Unit costs'!$P140)/1000</f>
        <v>360.12081125519302</v>
      </c>
      <c r="N198" s="299">
        <f>(F198*'Unit costs'!$P140)/1000</f>
        <v>293.81020002643959</v>
      </c>
      <c r="O198" s="299">
        <f>(G198*'Unit costs'!$P140)/1000</f>
        <v>296.64306140603304</v>
      </c>
      <c r="P198" s="299">
        <f>(H198*'Unit costs'!$P140)/1000</f>
        <v>299.50323668962039</v>
      </c>
      <c r="Q198" s="299">
        <f>(I198*'Unit costs'!$P140)/1000</f>
        <v>302.39098923260519</v>
      </c>
      <c r="R198" s="133"/>
      <c r="S198" s="133"/>
      <c r="T198" s="133"/>
      <c r="U198" s="133"/>
      <c r="V198" s="133"/>
      <c r="W198" s="133"/>
      <c r="X198" s="133"/>
      <c r="Y198" s="133"/>
      <c r="Z198" s="133"/>
      <c r="AJ198" s="292"/>
      <c r="AK198" s="292"/>
      <c r="AL198" s="292"/>
      <c r="AM198" s="292"/>
      <c r="AN198" s="292"/>
    </row>
    <row r="199" spans="1:40" x14ac:dyDescent="0.25">
      <c r="A199" s="297"/>
      <c r="B199" s="253" t="s">
        <v>1110</v>
      </c>
      <c r="C199" s="168"/>
      <c r="D199" s="128">
        <f>('Unit costs'!$C161*'Financial impact (cash)'!D$39)+('Unit costs'!$E161*'Financial impact (cash)'!D$41)+('Unit costs'!$F161*'Financial impact (cash)'!D$42)+('Unit costs'!$D161*'Financial impact (cash)'!D$40)</f>
        <v>326.06640302498852</v>
      </c>
      <c r="E199" s="128">
        <f>('Unit costs'!$C161*'Financial impact (cash)'!E$39)+('Unit costs'!$E161*'Financial impact (cash)'!E$41)+('Unit costs'!$F161*'Financial impact (cash)'!E$42)+('Unit costs'!$D161*'Financial impact (cash)'!E$40)</f>
        <v>296.112536508419</v>
      </c>
      <c r="F199" s="128">
        <f>('Unit costs'!$C161*'Financial impact (cash)'!F$39)+('Unit costs'!$E161*'Financial impact (cash)'!F$41)+('Unit costs'!$F161*'Financial impact (cash)'!F$42)+('Unit costs'!$D161*'Financial impact (cash)'!F$40)</f>
        <v>264.53810651974845</v>
      </c>
      <c r="G199" s="128">
        <f>('Unit costs'!$C161*'Financial impact (cash)'!G$39)+('Unit costs'!$E161*'Financial impact (cash)'!G$41)+('Unit costs'!$F161*'Financial impact (cash)'!G$42)+('Unit costs'!$D161*'Financial impact (cash)'!G$40)</f>
        <v>267.08873200968424</v>
      </c>
      <c r="H199" s="128">
        <f>('Unit costs'!$C161*'Financial impact (cash)'!H$39)+('Unit costs'!$E161*'Financial impact (cash)'!H$41)+('Unit costs'!$F161*'Financial impact (cash)'!H$42)+('Unit costs'!$D161*'Financial impact (cash)'!H$40)</f>
        <v>269.66395013950648</v>
      </c>
      <c r="I199" s="128">
        <f>('Unit costs'!$C161*'Financial impact (cash)'!I$39)+('Unit costs'!$E161*'Financial impact (cash)'!I$41)+('Unit costs'!$F161*'Financial impact (cash)'!I$42)+('Unit costs'!$D161*'Financial impact (cash)'!I$40)</f>
        <v>272.26399802671415</v>
      </c>
      <c r="J199" s="297"/>
      <c r="K199" s="297"/>
      <c r="L199" s="299">
        <f>(D199*'Unit costs'!$P141)/1000</f>
        <v>525.68802122377451</v>
      </c>
      <c r="M199" s="299">
        <f>(E199*'Unit costs'!$P141)/1000</f>
        <v>477.39605164023618</v>
      </c>
      <c r="N199" s="299">
        <f>(F199*'Unit costs'!$P141)/1000</f>
        <v>426.49139090847473</v>
      </c>
      <c r="O199" s="299">
        <f>(G199*'Unit costs'!$P141)/1000</f>
        <v>430.60353878463758</v>
      </c>
      <c r="P199" s="299">
        <f>(H199*'Unit costs'!$P141)/1000</f>
        <v>434.7553351988854</v>
      </c>
      <c r="Q199" s="299">
        <f>(I199*'Unit costs'!$P141)/1000</f>
        <v>438.94716243478899</v>
      </c>
      <c r="R199" s="133"/>
      <c r="S199" s="133"/>
      <c r="T199" s="133"/>
      <c r="U199" s="133"/>
      <c r="V199" s="133"/>
      <c r="W199" s="133"/>
      <c r="X199" s="133"/>
      <c r="Y199" s="133"/>
      <c r="Z199" s="133"/>
      <c r="AJ199" s="292"/>
      <c r="AK199" s="292"/>
      <c r="AL199" s="292"/>
      <c r="AM199" s="292"/>
      <c r="AN199" s="292"/>
    </row>
    <row r="200" spans="1:40" x14ac:dyDescent="0.25">
      <c r="A200" s="297"/>
      <c r="B200" s="253" t="s">
        <v>1111</v>
      </c>
      <c r="C200" s="168"/>
      <c r="D200" s="128">
        <f>('Unit costs'!$C162*'Financial impact (cash)'!D$39)+('Unit costs'!$E162*'Financial impact (cash)'!D$41)+('Unit costs'!$F162*'Financial impact (cash)'!D$42)+('Unit costs'!$D162*'Financial impact (cash)'!D$40)</f>
        <v>0.62766033677499222</v>
      </c>
      <c r="E200" s="128">
        <f>('Unit costs'!$C162*'Financial impact (cash)'!E$39)+('Unit costs'!$E162*'Financial impact (cash)'!E$41)+('Unit costs'!$F162*'Financial impact (cash)'!E$42)+('Unit costs'!$D162*'Financial impact (cash)'!E$40)</f>
        <v>2.2423659520897221</v>
      </c>
      <c r="F200" s="128">
        <f>('Unit costs'!$C162*'Financial impact (cash)'!F$39)+('Unit costs'!$E162*'Financial impact (cash)'!F$41)+('Unit costs'!$F162*'Financial impact (cash)'!F$42)+('Unit costs'!$D162*'Financial impact (cash)'!F$40)</f>
        <v>3.937367674545114</v>
      </c>
      <c r="G200" s="128">
        <f>('Unit costs'!$C162*'Financial impact (cash)'!G$39)+('Unit costs'!$E162*'Financial impact (cash)'!G$41)+('Unit costs'!$F162*'Financial impact (cash)'!G$42)+('Unit costs'!$D162*'Financial impact (cash)'!G$40)</f>
        <v>3.975331015577777</v>
      </c>
      <c r="H200" s="128">
        <f>('Unit costs'!$C162*'Financial impact (cash)'!H$39)+('Unit costs'!$E162*'Financial impact (cash)'!H$41)+('Unit costs'!$F162*'Financial impact (cash)'!H$42)+('Unit costs'!$D162*'Financial impact (cash)'!H$40)</f>
        <v>4.0136603918353622</v>
      </c>
      <c r="I200" s="128">
        <f>('Unit costs'!$C162*'Financial impact (cash)'!I$39)+('Unit costs'!$E162*'Financial impact (cash)'!I$41)+('Unit costs'!$F162*'Financial impact (cash)'!I$42)+('Unit costs'!$D162*'Financial impact (cash)'!I$40)</f>
        <v>4.0523593325590355</v>
      </c>
      <c r="J200" s="297"/>
      <c r="K200" s="297"/>
      <c r="L200" s="299">
        <f>(D200*'Unit costs'!$P142)/1000</f>
        <v>0.57755045745165878</v>
      </c>
      <c r="M200" s="299">
        <f>(E200*'Unit costs'!$P142)/1000</f>
        <v>2.0633444643925491</v>
      </c>
      <c r="N200" s="299">
        <f>(F200*'Unit costs'!$P142)/1000</f>
        <v>3.6230240599130181</v>
      </c>
      <c r="O200" s="299">
        <f>(G200*'Unit costs'!$P142)/1000</f>
        <v>3.657956560335883</v>
      </c>
      <c r="P200" s="299">
        <f>(H200*'Unit costs'!$P142)/1000</f>
        <v>3.693225873202056</v>
      </c>
      <c r="Q200" s="299">
        <f>(I200*'Unit costs'!$P142)/1000</f>
        <v>3.7288352459922702</v>
      </c>
      <c r="R200" s="133"/>
      <c r="S200" s="133"/>
      <c r="T200" s="133"/>
      <c r="U200" s="133"/>
      <c r="V200" s="133"/>
      <c r="W200" s="133"/>
      <c r="X200" s="133"/>
      <c r="Y200" s="133"/>
      <c r="Z200" s="133"/>
      <c r="AJ200" s="292"/>
      <c r="AK200" s="292"/>
      <c r="AL200" s="292"/>
      <c r="AM200" s="292"/>
      <c r="AN200" s="292"/>
    </row>
    <row r="201" spans="1:40" x14ac:dyDescent="0.25">
      <c r="A201" s="297"/>
      <c r="B201" s="253" t="s">
        <v>1112</v>
      </c>
      <c r="C201" s="168"/>
      <c r="D201" s="128">
        <f>('Unit costs'!$C163*'Financial impact (cash)'!D$39)+('Unit costs'!$E163*'Financial impact (cash)'!D$41)+('Unit costs'!$F163*'Financial impact (cash)'!D$42)+('Unit costs'!$D163*'Financial impact (cash)'!D$40)</f>
        <v>56.725328302267243</v>
      </c>
      <c r="E201" s="128">
        <f>('Unit costs'!$C163*'Financial impact (cash)'!E$39)+('Unit costs'!$E163*'Financial impact (cash)'!E$41)+('Unit costs'!$F163*'Financial impact (cash)'!E$42)+('Unit costs'!$D163*'Financial impact (cash)'!E$40)</f>
        <v>61.084899251153843</v>
      </c>
      <c r="F201" s="128">
        <f>('Unit costs'!$C163*'Financial impact (cash)'!F$39)+('Unit costs'!$E163*'Financial impact (cash)'!F$41)+('Unit costs'!$F163*'Financial impact (cash)'!F$42)+('Unit costs'!$D163*'Financial impact (cash)'!F$40)</f>
        <v>65.639913441176589</v>
      </c>
      <c r="G201" s="128">
        <f>('Unit costs'!$C163*'Financial impact (cash)'!G$39)+('Unit costs'!$E163*'Financial impact (cash)'!G$41)+('Unit costs'!$F163*'Financial impact (cash)'!G$42)+('Unit costs'!$D163*'Financial impact (cash)'!G$40)</f>
        <v>66.272800848525392</v>
      </c>
      <c r="H201" s="128">
        <f>('Unit costs'!$C163*'Financial impact (cash)'!H$39)+('Unit costs'!$E163*'Financial impact (cash)'!H$41)+('Unit costs'!$F163*'Financial impact (cash)'!H$42)+('Unit costs'!$D163*'Financial impact (cash)'!H$40)</f>
        <v>66.911790434402178</v>
      </c>
      <c r="I201" s="128">
        <f>('Unit costs'!$C163*'Financial impact (cash)'!I$39)+('Unit costs'!$E163*'Financial impact (cash)'!I$41)+('Unit costs'!$F163*'Financial impact (cash)'!I$42)+('Unit costs'!$D163*'Financial impact (cash)'!I$40)</f>
        <v>67.556941034837422</v>
      </c>
      <c r="J201" s="297"/>
      <c r="K201" s="297"/>
      <c r="L201" s="299">
        <f>(D201*'Unit costs'!$P143)/1000</f>
        <v>34.947241536699416</v>
      </c>
      <c r="M201" s="299">
        <f>(E201*'Unit costs'!$P143)/1000</f>
        <v>37.633078419569053</v>
      </c>
      <c r="N201" s="299">
        <f>(F201*'Unit costs'!$P143)/1000</f>
        <v>40.43932363429186</v>
      </c>
      <c r="O201" s="299">
        <f>(G201*'Unit costs'!$P143)/1000</f>
        <v>40.829231806745227</v>
      </c>
      <c r="P201" s="299">
        <f>(H201*'Unit costs'!$P143)/1000</f>
        <v>41.222899398725993</v>
      </c>
      <c r="Q201" s="299">
        <f>(I201*'Unit costs'!$P143)/1000</f>
        <v>41.620362657833404</v>
      </c>
      <c r="R201" s="133"/>
      <c r="S201" s="133"/>
      <c r="T201" s="133"/>
      <c r="U201" s="133"/>
      <c r="V201" s="133"/>
      <c r="W201" s="133"/>
      <c r="X201" s="133"/>
      <c r="Y201" s="133"/>
      <c r="Z201" s="133"/>
      <c r="AJ201" s="292"/>
      <c r="AK201" s="292"/>
      <c r="AL201" s="292"/>
      <c r="AM201" s="292"/>
      <c r="AN201" s="292"/>
    </row>
    <row r="202" spans="1:40" x14ac:dyDescent="0.25">
      <c r="A202" s="297"/>
      <c r="B202" s="253" t="s">
        <v>1113</v>
      </c>
      <c r="C202" s="168"/>
      <c r="D202" s="128">
        <f>('Unit costs'!$C164*'Financial impact (cash)'!D$39)+('Unit costs'!$E164*'Financial impact (cash)'!D$41)+('Unit costs'!$F164*'Financial impact (cash)'!D$42)+('Unit costs'!$D164*'Financial impact (cash)'!D$40)</f>
        <v>112.09914770653839</v>
      </c>
      <c r="E202" s="128">
        <f>('Unit costs'!$C164*'Financial impact (cash)'!E$39)+('Unit costs'!$E164*'Financial impact (cash)'!E$41)+('Unit costs'!$F164*'Financial impact (cash)'!E$42)+('Unit costs'!$D164*'Financial impact (cash)'!E$40)</f>
        <v>103.70539501326691</v>
      </c>
      <c r="F202" s="128">
        <f>('Unit costs'!$C164*'Financial impact (cash)'!F$39)+('Unit costs'!$E164*'Financial impact (cash)'!F$41)+('Unit costs'!$F164*'Financial impact (cash)'!F$42)+('Unit costs'!$D164*'Financial impact (cash)'!F$40)</f>
        <v>94.849482120562669</v>
      </c>
      <c r="G202" s="128">
        <f>('Unit costs'!$C164*'Financial impact (cash)'!G$39)+('Unit costs'!$E164*'Financial impact (cash)'!G$41)+('Unit costs'!$F164*'Financial impact (cash)'!G$42)+('Unit costs'!$D164*'Financial impact (cash)'!G$40)</f>
        <v>95.764002565222512</v>
      </c>
      <c r="H202" s="128">
        <f>('Unit costs'!$C164*'Financial impact (cash)'!H$39)+('Unit costs'!$E164*'Financial impact (cash)'!H$41)+('Unit costs'!$F164*'Financial impact (cash)'!H$42)+('Unit costs'!$D164*'Financial impact (cash)'!H$40)</f>
        <v>96.687340639931563</v>
      </c>
      <c r="I202" s="128">
        <f>('Unit costs'!$C164*'Financial impact (cash)'!I$39)+('Unit costs'!$E164*'Financial impact (cash)'!I$41)+('Unit costs'!$F164*'Financial impact (cash)'!I$42)+('Unit costs'!$D164*'Financial impact (cash)'!I$40)</f>
        <v>97.619581362581101</v>
      </c>
      <c r="J202" s="297"/>
      <c r="K202" s="297"/>
      <c r="L202" s="299">
        <f>(D202*'Unit costs'!$P144)/1000</f>
        <v>122.45696672594396</v>
      </c>
      <c r="M202" s="299">
        <f>(E202*'Unit costs'!$P144)/1000</f>
        <v>113.28764193360394</v>
      </c>
      <c r="N202" s="299">
        <f>(F202*'Unit costs'!$P144)/1000</f>
        <v>103.61345392578123</v>
      </c>
      <c r="O202" s="299">
        <f>(G202*'Unit costs'!$P144)/1000</f>
        <v>104.61247489920629</v>
      </c>
      <c r="P202" s="299">
        <f>(H202*'Unit costs'!$P144)/1000</f>
        <v>105.62112824050951</v>
      </c>
      <c r="Q202" s="299">
        <f>(I202*'Unit costs'!$P144)/1000</f>
        <v>106.63950682312746</v>
      </c>
      <c r="R202" s="133"/>
      <c r="S202" s="133"/>
      <c r="T202" s="133"/>
      <c r="U202" s="133"/>
      <c r="V202" s="133"/>
      <c r="W202" s="133"/>
      <c r="X202" s="133"/>
      <c r="Y202" s="133"/>
      <c r="Z202" s="133"/>
      <c r="AJ202" s="292"/>
      <c r="AK202" s="292"/>
      <c r="AL202" s="292"/>
      <c r="AM202" s="292"/>
      <c r="AN202" s="292"/>
    </row>
    <row r="203" spans="1:40" x14ac:dyDescent="0.25">
      <c r="A203" s="297"/>
      <c r="B203" s="253" t="s">
        <v>1114</v>
      </c>
      <c r="C203" s="168"/>
      <c r="D203" s="128">
        <f>('Unit costs'!$C165*'Financial impact (cash)'!D$39)+('Unit costs'!$E165*'Financial impact (cash)'!D$41)+('Unit costs'!$F165*'Financial impact (cash)'!D$42)+('Unit costs'!$D165*'Financial impact (cash)'!D$40)</f>
        <v>2.7751794998145014</v>
      </c>
      <c r="E203" s="128">
        <f>('Unit costs'!$C165*'Financial impact (cash)'!E$39)+('Unit costs'!$E165*'Financial impact (cash)'!E$41)+('Unit costs'!$F165*'Financial impact (cash)'!E$42)+('Unit costs'!$D165*'Financial impact (cash)'!E$40)</f>
        <v>3.8559288390364266</v>
      </c>
      <c r="F203" s="128">
        <f>('Unit costs'!$C165*'Financial impact (cash)'!F$39)+('Unit costs'!$E165*'Financial impact (cash)'!F$41)+('Unit costs'!$F165*'Financial impact (cash)'!F$42)+('Unit costs'!$D165*'Financial impact (cash)'!F$40)</f>
        <v>4.9895080295168048</v>
      </c>
      <c r="G203" s="128">
        <f>('Unit costs'!$C165*'Financial impact (cash)'!G$39)+('Unit costs'!$E165*'Financial impact (cash)'!G$41)+('Unit costs'!$F165*'Financial impact (cash)'!G$42)+('Unit costs'!$D165*'Financial impact (cash)'!G$40)</f>
        <v>5.0376159052771348</v>
      </c>
      <c r="H203" s="128">
        <f>('Unit costs'!$C165*'Financial impact (cash)'!H$39)+('Unit costs'!$E165*'Financial impact (cash)'!H$41)+('Unit costs'!$F165*'Financial impact (cash)'!H$42)+('Unit costs'!$D165*'Financial impact (cash)'!H$40)</f>
        <v>5.0861876279130414</v>
      </c>
      <c r="I203" s="128">
        <f>('Unit costs'!$C165*'Financial impact (cash)'!I$39)+('Unit costs'!$E165*'Financial impact (cash)'!I$41)+('Unit costs'!$F165*'Financial impact (cash)'!I$42)+('Unit costs'!$D165*'Financial impact (cash)'!I$40)</f>
        <v>5.1352276697467962</v>
      </c>
      <c r="J203" s="297"/>
      <c r="K203" s="297"/>
      <c r="L203" s="299">
        <f>(D203*'Unit costs'!$P145)/1000</f>
        <v>3.0316025645169509</v>
      </c>
      <c r="M203" s="299">
        <f>(E203*'Unit costs'!$P145)/1000</f>
        <v>4.2122117714544434</v>
      </c>
      <c r="N203" s="299">
        <f>(F203*'Unit costs'!$P145)/1000</f>
        <v>5.4505322408774379</v>
      </c>
      <c r="O203" s="299">
        <f>(G203*'Unit costs'!$P145)/1000</f>
        <v>5.5030852233199168</v>
      </c>
      <c r="P203" s="299">
        <f>(H203*'Unit costs'!$P145)/1000</f>
        <v>5.5561449115007582</v>
      </c>
      <c r="Q203" s="299">
        <f>(I203*'Unit costs'!$P145)/1000</f>
        <v>5.6097161909791362</v>
      </c>
      <c r="R203" s="133"/>
      <c r="S203" s="133"/>
      <c r="T203" s="133"/>
      <c r="U203" s="133"/>
      <c r="V203" s="133"/>
      <c r="W203" s="133"/>
      <c r="X203" s="133"/>
      <c r="Y203" s="133"/>
      <c r="Z203" s="133"/>
      <c r="AJ203" s="292"/>
      <c r="AK203" s="292"/>
      <c r="AL203" s="292"/>
      <c r="AM203" s="292"/>
      <c r="AN203" s="292"/>
    </row>
    <row r="204" spans="1:40" x14ac:dyDescent="0.25">
      <c r="A204" s="297"/>
      <c r="B204" s="253" t="s">
        <v>1115</v>
      </c>
      <c r="C204" s="168"/>
      <c r="D204" s="128">
        <f>('Unit costs'!$C166*'Financial impact (cash)'!D$39)+('Unit costs'!$E166*'Financial impact (cash)'!D$41)+('Unit costs'!$F166*'Financial impact (cash)'!D$42)+('Unit costs'!$D166*'Financial impact (cash)'!D$40)</f>
        <v>6.0965379437414313</v>
      </c>
      <c r="E204" s="128">
        <f>('Unit costs'!$C166*'Financial impact (cash)'!E$39)+('Unit costs'!$E166*'Financial impact (cash)'!E$41)+('Unit costs'!$F166*'Financial impact (cash)'!E$42)+('Unit costs'!$D166*'Financial impact (cash)'!E$40)</f>
        <v>16.976066610136574</v>
      </c>
      <c r="F204" s="128">
        <f>('Unit costs'!$C166*'Financial impact (cash)'!F$39)+('Unit costs'!$E166*'Financial impact (cash)'!F$41)+('Unit costs'!$F166*'Financial impact (cash)'!F$42)+('Unit costs'!$D166*'Financial impact (cash)'!F$40)</f>
        <v>28.395888143922257</v>
      </c>
      <c r="G204" s="128">
        <f>('Unit costs'!$C166*'Financial impact (cash)'!G$39)+('Unit costs'!$E166*'Financial impact (cash)'!G$41)+('Unit costs'!$F166*'Financial impact (cash)'!G$42)+('Unit costs'!$D166*'Financial impact (cash)'!G$40)</f>
        <v>28.669675830173219</v>
      </c>
      <c r="H204" s="128">
        <f>('Unit costs'!$C166*'Financial impact (cash)'!H$39)+('Unit costs'!$E166*'Financial impact (cash)'!H$41)+('Unit costs'!$F166*'Financial impact (cash)'!H$42)+('Unit costs'!$D166*'Financial impact (cash)'!H$40)</f>
        <v>28.946103324581003</v>
      </c>
      <c r="I204" s="128">
        <f>('Unit costs'!$C166*'Financial impact (cash)'!I$39)+('Unit costs'!$E166*'Financial impact (cash)'!I$41)+('Unit costs'!$F166*'Financial impact (cash)'!I$42)+('Unit costs'!$D166*'Financial impact (cash)'!I$40)</f>
        <v>29.225196079667601</v>
      </c>
      <c r="J204" s="297"/>
      <c r="K204" s="297"/>
      <c r="L204" s="299">
        <f>(D204*'Unit costs'!$P146)/1000</f>
        <v>6.6598503146037267</v>
      </c>
      <c r="M204" s="299">
        <f>(E204*'Unit costs'!$P146)/1000</f>
        <v>18.544633626091795</v>
      </c>
      <c r="N204" s="299">
        <f>(F204*'Unit costs'!$P146)/1000</f>
        <v>31.019632180406809</v>
      </c>
      <c r="O204" s="299">
        <f>(G204*'Unit costs'!$P146)/1000</f>
        <v>31.318717501492188</v>
      </c>
      <c r="P204" s="299">
        <f>(H204*'Unit costs'!$P146)/1000</f>
        <v>31.620686545658756</v>
      </c>
      <c r="Q204" s="299">
        <f>(I204*'Unit costs'!$P146)/1000</f>
        <v>31.925567117209237</v>
      </c>
      <c r="R204" s="133"/>
      <c r="S204" s="133"/>
      <c r="T204" s="133"/>
      <c r="U204" s="133"/>
      <c r="V204" s="133"/>
      <c r="W204" s="133"/>
      <c r="X204" s="133"/>
      <c r="Y204" s="133"/>
      <c r="Z204" s="133"/>
      <c r="AJ204" s="292"/>
      <c r="AK204" s="292"/>
      <c r="AL204" s="292"/>
      <c r="AM204" s="292"/>
      <c r="AN204" s="292"/>
    </row>
    <row r="205" spans="1:40" x14ac:dyDescent="0.25">
      <c r="A205" s="297"/>
      <c r="B205" s="253" t="s">
        <v>1116</v>
      </c>
      <c r="C205" s="168"/>
      <c r="D205" s="128">
        <f>('Unit costs'!$C167*'Financial impact (cash)'!D$39)+('Unit costs'!$E167*'Financial impact (cash)'!D$41)+('Unit costs'!$F167*'Financial impact (cash)'!D$42)+('Unit costs'!$D167*'Financial impact (cash)'!D$40)</f>
        <v>2.5106413470999689</v>
      </c>
      <c r="E205" s="128">
        <f>('Unit costs'!$C167*'Financial impact (cash)'!E$39)+('Unit costs'!$E167*'Financial impact (cash)'!E$41)+('Unit costs'!$F167*'Financial impact (cash)'!E$42)+('Unit costs'!$D167*'Financial impact (cash)'!E$40)</f>
        <v>8.9694638083588885</v>
      </c>
      <c r="F205" s="128">
        <f>('Unit costs'!$C167*'Financial impact (cash)'!F$39)+('Unit costs'!$E167*'Financial impact (cash)'!F$41)+('Unit costs'!$F167*'Financial impact (cash)'!F$42)+('Unit costs'!$D167*'Financial impact (cash)'!F$40)</f>
        <v>15.749470698180456</v>
      </c>
      <c r="G205" s="128">
        <f>('Unit costs'!$C167*'Financial impact (cash)'!G$39)+('Unit costs'!$E167*'Financial impact (cash)'!G$41)+('Unit costs'!$F167*'Financial impact (cash)'!G$42)+('Unit costs'!$D167*'Financial impact (cash)'!G$40)</f>
        <v>15.901324062311108</v>
      </c>
      <c r="H205" s="128">
        <f>('Unit costs'!$C167*'Financial impact (cash)'!H$39)+('Unit costs'!$E167*'Financial impact (cash)'!H$41)+('Unit costs'!$F167*'Financial impact (cash)'!H$42)+('Unit costs'!$D167*'Financial impact (cash)'!H$40)</f>
        <v>16.054641567341449</v>
      </c>
      <c r="I205" s="128">
        <f>('Unit costs'!$C167*'Financial impact (cash)'!I$39)+('Unit costs'!$E167*'Financial impact (cash)'!I$41)+('Unit costs'!$F167*'Financial impact (cash)'!I$42)+('Unit costs'!$D167*'Financial impact (cash)'!I$40)</f>
        <v>16.209437330236142</v>
      </c>
      <c r="J205" s="297"/>
      <c r="K205" s="297"/>
      <c r="L205" s="299">
        <f>(D205*'Unit costs'!$P147)/1000</f>
        <v>3.2843763453057941</v>
      </c>
      <c r="M205" s="299">
        <f>(E205*'Unit costs'!$P147)/1000</f>
        <v>11.733692984973112</v>
      </c>
      <c r="N205" s="299">
        <f>(F205*'Unit costs'!$P147)/1000</f>
        <v>20.603177380130568</v>
      </c>
      <c r="O205" s="299">
        <f>(G205*'Unit costs'!$P147)/1000</f>
        <v>20.801829249574972</v>
      </c>
      <c r="P205" s="299">
        <f>(H205*'Unit costs'!$P147)/1000</f>
        <v>21.002396482096895</v>
      </c>
      <c r="Q205" s="299">
        <f>(I205*'Unit costs'!$P147)/1000</f>
        <v>21.204897545258365</v>
      </c>
      <c r="R205" s="133"/>
      <c r="S205" s="133"/>
      <c r="T205" s="133"/>
      <c r="U205" s="133"/>
      <c r="V205" s="133"/>
      <c r="W205" s="133"/>
      <c r="X205" s="133"/>
      <c r="Y205" s="133"/>
      <c r="Z205" s="133"/>
      <c r="AJ205" s="292"/>
      <c r="AK205" s="292"/>
      <c r="AL205" s="292"/>
      <c r="AM205" s="292"/>
      <c r="AN205" s="292"/>
    </row>
    <row r="206" spans="1:40" x14ac:dyDescent="0.25">
      <c r="A206" s="297"/>
      <c r="B206" s="253" t="s">
        <v>1117</v>
      </c>
      <c r="C206" s="168"/>
      <c r="D206" s="128">
        <f>('Unit costs'!$C168*'Financial impact (cash)'!D$39)+('Unit costs'!$E168*'Financial impact (cash)'!D$41)+('Unit costs'!$F168*'Financial impact (cash)'!D$42)+('Unit costs'!$D168*'Financial impact (cash)'!D$40)</f>
        <v>85.432968111485906</v>
      </c>
      <c r="E206" s="128">
        <f>('Unit costs'!$C168*'Financial impact (cash)'!E$39)+('Unit costs'!$E168*'Financial impact (cash)'!E$41)+('Unit costs'!$F168*'Financial impact (cash)'!E$42)+('Unit costs'!$D168*'Financial impact (cash)'!E$40)</f>
        <v>93.096641782074585</v>
      </c>
      <c r="F206" s="128">
        <f>('Unit costs'!$C168*'Financial impact (cash)'!F$39)+('Unit costs'!$E168*'Financial impact (cash)'!F$41)+('Unit costs'!$F168*'Financial impact (cash)'!F$42)+('Unit costs'!$D168*'Financial impact (cash)'!F$40)</f>
        <v>101.10942609742455</v>
      </c>
      <c r="G206" s="128">
        <f>('Unit costs'!$C168*'Financial impact (cash)'!G$39)+('Unit costs'!$E168*'Financial impact (cash)'!G$41)+('Unit costs'!$F168*'Financial impact (cash)'!G$42)+('Unit costs'!$D168*'Financial impact (cash)'!G$40)</f>
        <v>102.08430371664429</v>
      </c>
      <c r="H206" s="128">
        <f>('Unit costs'!$C168*'Financial impact (cash)'!H$39)+('Unit costs'!$E168*'Financial impact (cash)'!H$41)+('Unit costs'!$F168*'Financial impact (cash)'!H$42)+('Unit costs'!$D168*'Financial impact (cash)'!H$40)</f>
        <v>103.06858091816937</v>
      </c>
      <c r="I206" s="128">
        <f>('Unit costs'!$C168*'Financial impact (cash)'!I$39)+('Unit costs'!$E168*'Financial impact (cash)'!I$41)+('Unit costs'!$F168*'Financial impact (cash)'!I$42)+('Unit costs'!$D168*'Financial impact (cash)'!I$40)</f>
        <v>104.06234833096276</v>
      </c>
      <c r="J206" s="297"/>
      <c r="K206" s="297"/>
      <c r="L206" s="299">
        <f>(D206*'Unit costs'!$P148)/1000</f>
        <v>126.00639162404249</v>
      </c>
      <c r="M206" s="299">
        <f>(E206*'Unit costs'!$P148)/1000</f>
        <v>137.30966115993061</v>
      </c>
      <c r="N206" s="299">
        <f>(F206*'Unit costs'!$P148)/1000</f>
        <v>149.12783932648352</v>
      </c>
      <c r="O206" s="299">
        <f>(G206*'Unit costs'!$P148)/1000</f>
        <v>150.56570124078124</v>
      </c>
      <c r="P206" s="299">
        <f>(H206*'Unit costs'!$P148)/1000</f>
        <v>152.01742674281624</v>
      </c>
      <c r="Q206" s="299">
        <f>(I206*'Unit costs'!$P148)/1000</f>
        <v>153.48314950263241</v>
      </c>
      <c r="R206" s="133"/>
      <c r="S206" s="133"/>
      <c r="T206" s="133"/>
      <c r="U206" s="133"/>
      <c r="V206" s="133"/>
      <c r="W206" s="133"/>
      <c r="X206" s="133"/>
      <c r="Y206" s="133"/>
      <c r="Z206" s="133"/>
      <c r="AJ206" s="292"/>
      <c r="AK206" s="292"/>
      <c r="AL206" s="292"/>
      <c r="AM206" s="292"/>
      <c r="AN206" s="292"/>
    </row>
    <row r="207" spans="1:40" x14ac:dyDescent="0.25">
      <c r="A207" s="297"/>
      <c r="B207" s="253" t="s">
        <v>1118</v>
      </c>
      <c r="C207" s="168"/>
      <c r="D207" s="128">
        <f>('Unit costs'!$C169*'Financial impact (cash)'!D$39)+('Unit costs'!$E169*'Financial impact (cash)'!D$41)+('Unit costs'!$F169*'Financial impact (cash)'!D$42)+('Unit costs'!$D169*'Financial impact (cash)'!D$40)</f>
        <v>153.48642440394119</v>
      </c>
      <c r="E207" s="128">
        <f>('Unit costs'!$C169*'Financial impact (cash)'!E$39)+('Unit costs'!$E169*'Financial impact (cash)'!E$41)+('Unit costs'!$F169*'Financial impact (cash)'!E$42)+('Unit costs'!$D169*'Financial impact (cash)'!E$40)</f>
        <v>183.92207998987729</v>
      </c>
      <c r="F207" s="128">
        <f>('Unit costs'!$C169*'Financial impact (cash)'!F$39)+('Unit costs'!$E169*'Financial impact (cash)'!F$41)+('Unit costs'!$F169*'Financial impact (cash)'!F$42)+('Unit costs'!$D169*'Financial impact (cash)'!F$40)</f>
        <v>215.81628398377512</v>
      </c>
      <c r="G207" s="128">
        <f>('Unit costs'!$C169*'Financial impact (cash)'!G$39)+('Unit costs'!$E169*'Financial impact (cash)'!G$41)+('Unit costs'!$F169*'Financial impact (cash)'!G$42)+('Unit costs'!$D169*'Financial impact (cash)'!G$40)</f>
        <v>217.8971430415273</v>
      </c>
      <c r="H207" s="128">
        <f>('Unit costs'!$C169*'Financial impact (cash)'!H$39)+('Unit costs'!$E169*'Financial impact (cash)'!H$41)+('Unit costs'!$F169*'Financial impact (cash)'!H$42)+('Unit costs'!$D169*'Financial impact (cash)'!H$40)</f>
        <v>219.99806534167382</v>
      </c>
      <c r="I207" s="128">
        <f>('Unit costs'!$C169*'Financial impact (cash)'!I$39)+('Unit costs'!$E169*'Financial impact (cash)'!I$41)+('Unit costs'!$F169*'Financial impact (cash)'!I$42)+('Unit costs'!$D169*'Financial impact (cash)'!I$40)</f>
        <v>222.1192443301351</v>
      </c>
      <c r="J207" s="297"/>
      <c r="K207" s="297"/>
      <c r="L207" s="299">
        <f>(D207*'Unit costs'!$P149)/1000</f>
        <v>167.66837527901436</v>
      </c>
      <c r="M207" s="299">
        <f>(E207*'Unit costs'!$P149)/1000</f>
        <v>200.91624682506966</v>
      </c>
      <c r="N207" s="299">
        <f>(F207*'Unit costs'!$P149)/1000</f>
        <v>235.75743480141153</v>
      </c>
      <c r="O207" s="299">
        <f>(G207*'Unit costs'!$P149)/1000</f>
        <v>238.03056259595652</v>
      </c>
      <c r="P207" s="299">
        <f>(H207*'Unit costs'!$P149)/1000</f>
        <v>240.32560745103734</v>
      </c>
      <c r="Q207" s="299">
        <f>(I207*'Unit costs'!$P149)/1000</f>
        <v>242.64278068673201</v>
      </c>
      <c r="R207" s="133"/>
      <c r="S207" s="133"/>
      <c r="T207" s="133"/>
      <c r="U207" s="133"/>
      <c r="V207" s="133"/>
      <c r="W207" s="133"/>
      <c r="X207" s="133"/>
      <c r="Y207" s="133"/>
      <c r="Z207" s="133"/>
      <c r="AJ207" s="292"/>
      <c r="AK207" s="292"/>
      <c r="AL207" s="292"/>
      <c r="AM207" s="292"/>
      <c r="AN207" s="292"/>
    </row>
    <row r="208" spans="1:40" x14ac:dyDescent="0.25">
      <c r="A208" s="297"/>
      <c r="B208" s="253" t="s">
        <v>1119</v>
      </c>
      <c r="C208" s="168"/>
      <c r="D208" s="128">
        <f>('Unit costs'!$C170*'Financial impact (cash)'!D$39)+('Unit costs'!$E170*'Financial impact (cash)'!D$41)+('Unit costs'!$F170*'Financial impact (cash)'!D$42)+('Unit costs'!$D170*'Financial impact (cash)'!D$40)</f>
        <v>2.5106413470999689</v>
      </c>
      <c r="E208" s="128">
        <f>('Unit costs'!$C170*'Financial impact (cash)'!E$39)+('Unit costs'!$E170*'Financial impact (cash)'!E$41)+('Unit costs'!$F170*'Financial impact (cash)'!E$42)+('Unit costs'!$D170*'Financial impact (cash)'!E$40)</f>
        <v>8.9694638083588885</v>
      </c>
      <c r="F208" s="128">
        <f>('Unit costs'!$C170*'Financial impact (cash)'!F$39)+('Unit costs'!$E170*'Financial impact (cash)'!F$41)+('Unit costs'!$F170*'Financial impact (cash)'!F$42)+('Unit costs'!$D170*'Financial impact (cash)'!F$40)</f>
        <v>15.749470698180456</v>
      </c>
      <c r="G208" s="128">
        <f>('Unit costs'!$C170*'Financial impact (cash)'!G$39)+('Unit costs'!$E170*'Financial impact (cash)'!G$41)+('Unit costs'!$F170*'Financial impact (cash)'!G$42)+('Unit costs'!$D170*'Financial impact (cash)'!G$40)</f>
        <v>15.901324062311108</v>
      </c>
      <c r="H208" s="128">
        <f>('Unit costs'!$C170*'Financial impact (cash)'!H$39)+('Unit costs'!$E170*'Financial impact (cash)'!H$41)+('Unit costs'!$F170*'Financial impact (cash)'!H$42)+('Unit costs'!$D170*'Financial impact (cash)'!H$40)</f>
        <v>16.054641567341449</v>
      </c>
      <c r="I208" s="128">
        <f>('Unit costs'!$C170*'Financial impact (cash)'!I$39)+('Unit costs'!$E170*'Financial impact (cash)'!I$41)+('Unit costs'!$F170*'Financial impact (cash)'!I$42)+('Unit costs'!$D170*'Financial impact (cash)'!I$40)</f>
        <v>16.209437330236142</v>
      </c>
      <c r="J208" s="297"/>
      <c r="K208" s="297"/>
      <c r="L208" s="299">
        <f>(D208*'Unit costs'!$P150)/1000</f>
        <v>3.0787557800245779</v>
      </c>
      <c r="M208" s="299">
        <f>(E208*'Unit costs'!$P150)/1000</f>
        <v>10.999097332481965</v>
      </c>
      <c r="N208" s="299">
        <f>(F208*'Unit costs'!$P150)/1000</f>
        <v>19.313301758676118</v>
      </c>
      <c r="O208" s="299">
        <f>(G208*'Unit costs'!$P150)/1000</f>
        <v>19.499516895726039</v>
      </c>
      <c r="P208" s="299">
        <f>(H208*'Unit costs'!$P150)/1000</f>
        <v>19.687527483274259</v>
      </c>
      <c r="Q208" s="299">
        <f>(I208*'Unit costs'!$P150)/1000</f>
        <v>19.877350832708792</v>
      </c>
      <c r="R208" s="133"/>
      <c r="S208" s="133"/>
      <c r="T208" s="133"/>
      <c r="U208" s="133"/>
      <c r="V208" s="133"/>
      <c r="W208" s="133"/>
      <c r="X208" s="133"/>
      <c r="Y208" s="133"/>
      <c r="Z208" s="133"/>
      <c r="AJ208" s="292"/>
      <c r="AK208" s="292"/>
      <c r="AL208" s="292"/>
      <c r="AM208" s="292"/>
      <c r="AN208" s="292"/>
    </row>
    <row r="209" spans="1:40" x14ac:dyDescent="0.25">
      <c r="A209" s="297"/>
      <c r="B209" s="253" t="s">
        <v>1120</v>
      </c>
      <c r="C209" s="168"/>
      <c r="D209" s="128">
        <f>('Unit costs'!$C171*'Financial impact (cash)'!D$39)+('Unit costs'!$E171*'Financial impact (cash)'!D$41)+('Unit costs'!$F171*'Financial impact (cash)'!D$42)+('Unit costs'!$D171*'Financial impact (cash)'!D$40)</f>
        <v>236.02795477450863</v>
      </c>
      <c r="E209" s="128">
        <f>('Unit costs'!$C171*'Financial impact (cash)'!E$39)+('Unit costs'!$E171*'Financial impact (cash)'!E$41)+('Unit costs'!$F171*'Financial impact (cash)'!E$42)+('Unit costs'!$D171*'Financial impact (cash)'!E$40)</f>
        <v>196.79535529627088</v>
      </c>
      <c r="F209" s="128">
        <f>('Unit costs'!$C171*'Financial impact (cash)'!F$39)+('Unit costs'!$E171*'Financial impact (cash)'!F$41)+('Unit costs'!$F171*'Financial impact (cash)'!F$42)+('Unit costs'!$D171*'Financial impact (cash)'!F$40)</f>
        <v>155.51431117828304</v>
      </c>
      <c r="G209" s="128">
        <f>('Unit costs'!$C171*'Financial impact (cash)'!G$39)+('Unit costs'!$E171*'Financial impact (cash)'!G$41)+('Unit costs'!$F171*'Financial impact (cash)'!G$42)+('Unit costs'!$D171*'Financial impact (cash)'!G$40)</f>
        <v>157.0137502245496</v>
      </c>
      <c r="H209" s="128">
        <f>('Unit costs'!$C171*'Financial impact (cash)'!H$39)+('Unit costs'!$E171*'Financial impact (cash)'!H$41)+('Unit costs'!$F171*'Financial impact (cash)'!H$42)+('Unit costs'!$D171*'Financial impact (cash)'!H$40)</f>
        <v>158.5276465734041</v>
      </c>
      <c r="I209" s="128">
        <f>('Unit costs'!$C171*'Financial impact (cash)'!I$39)+('Unit costs'!$E171*'Financial impact (cash)'!I$41)+('Unit costs'!$F171*'Financial impact (cash)'!I$42)+('Unit costs'!$D171*'Financial impact (cash)'!I$40)</f>
        <v>160.05613961937465</v>
      </c>
      <c r="J209" s="297"/>
      <c r="K209" s="297"/>
      <c r="L209" s="299">
        <f>(D209*'Unit costs'!$P151)/1000</f>
        <v>352.6629461079944</v>
      </c>
      <c r="M209" s="299">
        <f>(E209*'Unit costs'!$P151)/1000</f>
        <v>294.04326214433632</v>
      </c>
      <c r="N209" s="299">
        <f>(F209*'Unit costs'!$P151)/1000</f>
        <v>232.36287919574835</v>
      </c>
      <c r="O209" s="299">
        <f>(G209*'Unit costs'!$P151)/1000</f>
        <v>234.60327733871799</v>
      </c>
      <c r="P209" s="299">
        <f>(H209*'Unit costs'!$P151)/1000</f>
        <v>236.86527696922457</v>
      </c>
      <c r="Q209" s="299">
        <f>(I209*'Unit costs'!$P151)/1000</f>
        <v>239.14908636465205</v>
      </c>
      <c r="R209" s="133"/>
      <c r="S209" s="133"/>
      <c r="T209" s="133"/>
      <c r="U209" s="133"/>
      <c r="V209" s="133"/>
      <c r="W209" s="133"/>
      <c r="X209" s="133"/>
      <c r="Y209" s="133"/>
      <c r="Z209" s="133"/>
      <c r="AJ209" s="292"/>
      <c r="AK209" s="292"/>
      <c r="AL209" s="292"/>
      <c r="AM209" s="292"/>
      <c r="AN209" s="292"/>
    </row>
    <row r="210" spans="1:40" x14ac:dyDescent="0.25">
      <c r="A210" s="297"/>
      <c r="B210" s="253" t="s">
        <v>1121</v>
      </c>
      <c r="C210" s="168"/>
      <c r="D210" s="128">
        <f>('Unit costs'!$C172*'Financial impact (cash)'!D$39)+('Unit costs'!$E172*'Financial impact (cash)'!D$41)+('Unit costs'!$F172*'Financial impact (cash)'!D$42)+('Unit costs'!$D172*'Financial impact (cash)'!D$40)</f>
        <v>249.24271909183449</v>
      </c>
      <c r="E210" s="128">
        <f>('Unit costs'!$C172*'Financial impact (cash)'!E$39)+('Unit costs'!$E172*'Financial impact (cash)'!E$41)+('Unit costs'!$F172*'Financial impact (cash)'!E$42)+('Unit costs'!$D172*'Financial impact (cash)'!E$40)</f>
        <v>257.1684920164185</v>
      </c>
      <c r="F210" s="128">
        <f>('Unit costs'!$C172*'Financial impact (cash)'!F$39)+('Unit costs'!$E172*'Financial impact (cash)'!F$41)+('Unit costs'!$F172*'Financial impact (cash)'!F$42)+('Unit costs'!$D172*'Financial impact (cash)'!F$40)</f>
        <v>265.39289755965655</v>
      </c>
      <c r="G210" s="128">
        <f>('Unit costs'!$C172*'Financial impact (cash)'!G$39)+('Unit costs'!$E172*'Financial impact (cash)'!G$41)+('Unit costs'!$F172*'Financial impact (cash)'!G$42)+('Unit costs'!$D172*'Financial impact (cash)'!G$40)</f>
        <v>267.95176478022103</v>
      </c>
      <c r="H210" s="128">
        <f>('Unit costs'!$C172*'Financial impact (cash)'!H$39)+('Unit costs'!$E172*'Financial impact (cash)'!H$41)+('Unit costs'!$F172*'Financial impact (cash)'!H$42)+('Unit costs'!$D172*'Financial impact (cash)'!H$40)</f>
        <v>270.53530410585182</v>
      </c>
      <c r="I210" s="128">
        <f>('Unit costs'!$C172*'Financial impact (cash)'!I$39)+('Unit costs'!$E172*'Financial impact (cash)'!I$41)+('Unit costs'!$F172*'Financial impact (cash)'!I$42)+('Unit costs'!$D172*'Financial impact (cash)'!I$40)</f>
        <v>273.14375342023584</v>
      </c>
      <c r="J210" s="297"/>
      <c r="K210" s="297"/>
      <c r="L210" s="299">
        <f>(D210*'Unit costs'!$P152)/1000</f>
        <v>500.92990127110608</v>
      </c>
      <c r="M210" s="299">
        <f>(E210*'Unit costs'!$P152)/1000</f>
        <v>516.85917961903738</v>
      </c>
      <c r="N210" s="299">
        <f>(F210*'Unit costs'!$P152)/1000</f>
        <v>533.38865206180026</v>
      </c>
      <c r="O210" s="299">
        <f>(G210*'Unit costs'!$P152)/1000</f>
        <v>538.53148274842488</v>
      </c>
      <c r="P210" s="299">
        <f>(H210*'Unit costs'!$P152)/1000</f>
        <v>543.72389961834915</v>
      </c>
      <c r="Q210" s="299">
        <f>(I210*'Unit costs'!$P152)/1000</f>
        <v>548.96638077200578</v>
      </c>
      <c r="R210" s="133"/>
      <c r="S210" s="133"/>
      <c r="T210" s="133"/>
      <c r="U210" s="133"/>
      <c r="V210" s="133"/>
      <c r="W210" s="133"/>
      <c r="X210" s="133"/>
      <c r="Y210" s="133"/>
      <c r="Z210" s="133"/>
      <c r="AJ210" s="292"/>
      <c r="AK210" s="292"/>
      <c r="AL210" s="292"/>
      <c r="AM210" s="292"/>
      <c r="AN210" s="292"/>
    </row>
    <row r="211" spans="1:40" x14ac:dyDescent="0.25">
      <c r="A211" s="297"/>
      <c r="B211" s="253" t="s">
        <v>1122</v>
      </c>
      <c r="C211" s="168"/>
      <c r="D211" s="128">
        <f>('Unit costs'!$C173*'Financial impact (cash)'!D$39)+('Unit costs'!$E173*'Financial impact (cash)'!D$41)+('Unit costs'!$F173*'Financial impact (cash)'!D$42)+('Unit costs'!$D173*'Financial impact (cash)'!D$40)</f>
        <v>166.05875652366407</v>
      </c>
      <c r="E211" s="128">
        <f>('Unit costs'!$C173*'Financial impact (cash)'!E$39)+('Unit costs'!$E173*'Financial impact (cash)'!E$41)+('Unit costs'!$F173*'Financial impact (cash)'!E$42)+('Unit costs'!$D173*'Financial impact (cash)'!E$40)</f>
        <v>294.74351606215396</v>
      </c>
      <c r="F211" s="128">
        <f>('Unit costs'!$C173*'Financial impact (cash)'!F$39)+('Unit costs'!$E173*'Financial impact (cash)'!F$41)+('Unit costs'!$F173*'Financial impact (cash)'!F$42)+('Unit costs'!$D173*'Financial impact (cash)'!F$40)</f>
        <v>429.78249596811884</v>
      </c>
      <c r="G211" s="128">
        <f>('Unit costs'!$C173*'Financial impact (cash)'!G$39)+('Unit costs'!$E173*'Financial impact (cash)'!G$41)+('Unit costs'!$F173*'Financial impact (cash)'!G$42)+('Unit costs'!$D173*'Financial impact (cash)'!G$40)</f>
        <v>433.92637604561037</v>
      </c>
      <c r="H211" s="128">
        <f>('Unit costs'!$C173*'Financial impact (cash)'!H$39)+('Unit costs'!$E173*'Financial impact (cash)'!H$41)+('Unit costs'!$F173*'Financial impact (cash)'!H$42)+('Unit costs'!$D173*'Financial impact (cash)'!H$40)</f>
        <v>438.11021061696243</v>
      </c>
      <c r="I211" s="128">
        <f>('Unit costs'!$C173*'Financial impact (cash)'!I$39)+('Unit costs'!$E173*'Financial impact (cash)'!I$41)+('Unit costs'!$F173*'Financial impact (cash)'!I$42)+('Unit costs'!$D173*'Financial impact (cash)'!I$40)</f>
        <v>442.33438491571252</v>
      </c>
      <c r="J211" s="297"/>
      <c r="K211" s="297"/>
      <c r="L211" s="299">
        <f>(D211*'Unit costs'!$P153)/1000</f>
        <v>131.96606728801484</v>
      </c>
      <c r="M211" s="299">
        <f>(E211*'Unit costs'!$P153)/1000</f>
        <v>234.23120519285251</v>
      </c>
      <c r="N211" s="299">
        <f>(F211*'Unit costs'!$P153)/1000</f>
        <v>341.54601039697275</v>
      </c>
      <c r="O211" s="299">
        <f>(G211*'Unit costs'!$P153)/1000</f>
        <v>344.83913126929355</v>
      </c>
      <c r="P211" s="299">
        <f>(H211*'Unit costs'!$P153)/1000</f>
        <v>348.16400377902045</v>
      </c>
      <c r="Q211" s="299">
        <f>(I211*'Unit costs'!$P153)/1000</f>
        <v>351.52093406932835</v>
      </c>
      <c r="R211" s="133"/>
      <c r="S211" s="133"/>
      <c r="T211" s="133"/>
      <c r="U211" s="133"/>
      <c r="V211" s="133"/>
      <c r="W211" s="133"/>
      <c r="X211" s="133"/>
      <c r="Y211" s="133"/>
      <c r="Z211" s="133"/>
      <c r="AJ211" s="292"/>
      <c r="AK211" s="292"/>
      <c r="AL211" s="292"/>
      <c r="AM211" s="292"/>
      <c r="AN211" s="292"/>
    </row>
    <row r="212" spans="1:40" x14ac:dyDescent="0.25">
      <c r="A212" s="297"/>
      <c r="B212" s="286"/>
      <c r="C212" s="211"/>
      <c r="D212" s="187">
        <f>SUM(D195:D211)</f>
        <v>1906.179201248671</v>
      </c>
      <c r="E212" s="187">
        <f t="shared" ref="E212:I212" si="89">SUM(E195:E211)</f>
        <v>2092.7003729082699</v>
      </c>
      <c r="F212" s="187">
        <f t="shared" si="89"/>
        <v>2287.7854841490471</v>
      </c>
      <c r="G212" s="187">
        <f t="shared" si="89"/>
        <v>2309.8438713059836</v>
      </c>
      <c r="H212" s="187">
        <f t="shared" si="89"/>
        <v>2332.1149411848514</v>
      </c>
      <c r="I212" s="187">
        <f t="shared" si="89"/>
        <v>2354.6007444315082</v>
      </c>
      <c r="J212" s="297"/>
      <c r="K212" s="297"/>
      <c r="L212" s="300">
        <f>SUM(L195:L211)</f>
        <v>2502.9364389434918</v>
      </c>
      <c r="M212" s="300">
        <f t="shared" ref="M212:P212" si="90">SUM(M195:M211)</f>
        <v>2621.4492535613967</v>
      </c>
      <c r="N212" s="300">
        <f t="shared" si="90"/>
        <v>2744.9023146088757</v>
      </c>
      <c r="O212" s="300">
        <f t="shared" si="90"/>
        <v>2771.3681342336276</v>
      </c>
      <c r="P212" s="300">
        <f t="shared" si="90"/>
        <v>2798.0891321955751</v>
      </c>
      <c r="Q212" s="300">
        <f>SUM(Q195:Q211)</f>
        <v>2825.0677688751171</v>
      </c>
      <c r="R212" s="133"/>
      <c r="S212" s="133"/>
      <c r="T212" s="133"/>
      <c r="U212" s="133"/>
      <c r="V212" s="133"/>
      <c r="W212" s="133"/>
      <c r="X212" s="133"/>
      <c r="Y212" s="133"/>
      <c r="Z212" s="133"/>
      <c r="AJ212" s="292"/>
      <c r="AK212" s="292"/>
      <c r="AL212" s="292"/>
      <c r="AM212" s="292"/>
      <c r="AN212" s="292"/>
    </row>
    <row r="213" spans="1:40" x14ac:dyDescent="0.25">
      <c r="A213" s="297"/>
      <c r="B213" s="312"/>
      <c r="C213" s="211"/>
      <c r="D213" s="291" t="s">
        <v>778</v>
      </c>
      <c r="E213" s="187">
        <f>E212-$D$212</f>
        <v>186.52117165959885</v>
      </c>
      <c r="F213" s="187">
        <f>F212-$D$212</f>
        <v>381.60628290037607</v>
      </c>
      <c r="G213" s="187">
        <f>G212-$D$212</f>
        <v>403.66467005731261</v>
      </c>
      <c r="H213" s="187">
        <f>H212-$D$212</f>
        <v>425.93573993618043</v>
      </c>
      <c r="I213" s="187">
        <f>I212-$D$212</f>
        <v>448.42154318283724</v>
      </c>
      <c r="J213" s="297"/>
      <c r="K213" s="297"/>
      <c r="L213" s="593"/>
      <c r="M213" s="300">
        <f>M212-$L$212</f>
        <v>118.51281461790495</v>
      </c>
      <c r="N213" s="300">
        <f>N212-$L$212</f>
        <v>241.96587566538392</v>
      </c>
      <c r="O213" s="300">
        <f>O212-$L$212</f>
        <v>268.43169529013585</v>
      </c>
      <c r="P213" s="300">
        <f>P212-$L$212</f>
        <v>295.15269325208328</v>
      </c>
      <c r="Q213" s="300">
        <f>Q212-$L$212</f>
        <v>322.13132993162526</v>
      </c>
    </row>
    <row r="214" spans="1:40" x14ac:dyDescent="0.25">
      <c r="A214" s="297"/>
      <c r="B214" s="297"/>
      <c r="C214" s="297"/>
      <c r="D214" s="297"/>
      <c r="E214" s="297"/>
      <c r="F214" s="297"/>
      <c r="G214" s="297"/>
      <c r="H214" s="297"/>
      <c r="I214" s="297"/>
      <c r="J214" s="297"/>
      <c r="K214" s="297"/>
      <c r="L214" s="297"/>
      <c r="M214" s="297"/>
      <c r="N214" s="297"/>
      <c r="O214" s="297"/>
      <c r="P214" s="297"/>
      <c r="Q214" s="297"/>
    </row>
    <row r="215" spans="1:40" x14ac:dyDescent="0.25">
      <c r="B215"/>
    </row>
    <row r="216" spans="1:40" x14ac:dyDescent="0.25">
      <c r="B216"/>
    </row>
    <row r="217" spans="1:40" x14ac:dyDescent="0.25">
      <c r="B217"/>
    </row>
    <row r="218" spans="1:40" x14ac:dyDescent="0.25">
      <c r="B218"/>
    </row>
    <row r="219" spans="1:40" x14ac:dyDescent="0.25">
      <c r="B219"/>
    </row>
  </sheetData>
  <sheetProtection algorithmName="SHA-512" hashValue="UIKYlnAC2DX1pbLq6cCtmwkxOSYlC0n6J3XzPT6+Yvr4i6VEWD2hXhjDcrMVCQiyicGeUeRCuoMW5BNIQfBclg==" saltValue="+vblw5ZgsgIFujgI9kUyXA==" spinCount="100000" sheet="1" objects="1" scenarios="1"/>
  <protectedRanges>
    <protectedRange sqref="B195:B211" name="Range1_1"/>
  </protectedRanges>
  <pageMargins left="0.70866141732283472" right="0.70866141732283472" top="0.74803149606299213" bottom="0.74803149606299213" header="0.31496062992125984" footer="0.31496062992125984"/>
  <pageSetup paperSize="9" scale="33" fitToHeight="0" orientation="portrait" horizontalDpi="4294967293" r:id="rId1"/>
  <rowBreaks count="1" manualBreakCount="1">
    <brk id="144" min="1"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8AB95-FE96-4E38-AED6-DD4F51D444F2}">
  <sheetPr>
    <tabColor theme="8" tint="-0.499984740745262"/>
    <pageSetUpPr fitToPage="1"/>
  </sheetPr>
  <dimension ref="A1:AN217"/>
  <sheetViews>
    <sheetView showGridLines="0" zoomScale="70" zoomScaleNormal="70" zoomScaleSheetLayoutView="30" workbookViewId="0">
      <selection activeCell="E5" sqref="E5"/>
    </sheetView>
  </sheetViews>
  <sheetFormatPr defaultColWidth="8.85546875" defaultRowHeight="15" x14ac:dyDescent="0.25"/>
  <cols>
    <col min="1" max="1" width="3.5703125" customWidth="1"/>
    <col min="2" max="2" width="75" style="1" customWidth="1"/>
    <col min="3" max="9" width="12.5703125" customWidth="1"/>
    <col min="10" max="10" width="1.85546875" customWidth="1"/>
    <col min="11" max="11" width="9.42578125" customWidth="1"/>
    <col min="12" max="18" width="11.7109375" customWidth="1"/>
    <col min="19" max="19" width="11.42578125" customWidth="1"/>
    <col min="20" max="20" width="11.7109375" customWidth="1"/>
    <col min="21" max="26" width="10.85546875" customWidth="1"/>
    <col min="28" max="41" width="0" hidden="1" customWidth="1"/>
  </cols>
  <sheetData>
    <row r="1" spans="1:40" ht="30" customHeight="1" x14ac:dyDescent="0.25">
      <c r="B1" s="785" t="str">
        <f>'Unit costs'!B1</f>
        <v>Selinexor with bortezomib and dexamethasone for previously treated multiple myeloma 
(TA974)</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 customHeight="1" x14ac:dyDescent="0.25">
      <c r="B2" s="216" t="s">
        <v>779</v>
      </c>
      <c r="C2" s="127" t="s">
        <v>108</v>
      </c>
      <c r="D2" s="127" t="s">
        <v>108</v>
      </c>
      <c r="E2" s="127" t="s">
        <v>108</v>
      </c>
      <c r="F2" s="127" t="s">
        <v>108</v>
      </c>
      <c r="G2" s="127" t="s">
        <v>108</v>
      </c>
      <c r="H2" s="127" t="s">
        <v>108</v>
      </c>
      <c r="I2" s="127" t="s">
        <v>108</v>
      </c>
      <c r="J2" s="127" t="s">
        <v>108</v>
      </c>
      <c r="K2" s="127"/>
      <c r="L2" s="127" t="s">
        <v>108</v>
      </c>
      <c r="M2" s="127" t="s">
        <v>108</v>
      </c>
      <c r="N2" s="127" t="s">
        <v>108</v>
      </c>
      <c r="O2" s="127" t="s">
        <v>108</v>
      </c>
      <c r="P2" s="127" t="s">
        <v>108</v>
      </c>
      <c r="Q2" s="127"/>
      <c r="R2" s="127"/>
      <c r="S2" s="127"/>
      <c r="T2" s="127"/>
      <c r="U2" s="127"/>
      <c r="V2" s="127"/>
      <c r="W2" s="127"/>
      <c r="X2" s="127"/>
      <c r="Y2" s="127"/>
      <c r="Z2" s="127"/>
    </row>
    <row r="3" spans="1:40" ht="14.45" customHeight="1" x14ac:dyDescent="0.25">
      <c r="B3" s="130" t="s">
        <v>108</v>
      </c>
      <c r="C3" s="133" t="s">
        <v>108</v>
      </c>
      <c r="D3" s="133" t="s">
        <v>108</v>
      </c>
      <c r="E3" s="133" t="s">
        <v>108</v>
      </c>
      <c r="F3" s="133" t="s">
        <v>108</v>
      </c>
      <c r="G3" s="133" t="s">
        <v>108</v>
      </c>
      <c r="H3" s="133" t="s">
        <v>108</v>
      </c>
      <c r="I3" s="133" t="s">
        <v>108</v>
      </c>
      <c r="J3" s="133" t="s">
        <v>108</v>
      </c>
      <c r="K3" s="133"/>
      <c r="L3" s="133" t="s">
        <v>108</v>
      </c>
      <c r="M3" s="133" t="s">
        <v>108</v>
      </c>
      <c r="N3" s="133" t="s">
        <v>108</v>
      </c>
      <c r="O3" s="133" t="s">
        <v>108</v>
      </c>
      <c r="P3" s="133" t="s">
        <v>108</v>
      </c>
      <c r="Q3" s="133"/>
      <c r="R3" s="133"/>
      <c r="S3" s="127"/>
      <c r="T3" s="127"/>
      <c r="U3" s="127"/>
      <c r="V3" s="127"/>
      <c r="W3" s="127"/>
      <c r="X3" s="127"/>
      <c r="Y3" s="133"/>
      <c r="Z3" s="133"/>
    </row>
    <row r="4" spans="1:40" ht="14.45" customHeight="1" x14ac:dyDescent="0.25">
      <c r="B4" t="s">
        <v>749</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27"/>
      <c r="T5" s="127"/>
      <c r="U5" s="127"/>
      <c r="V5" s="127"/>
      <c r="W5" s="127"/>
      <c r="X5" s="127"/>
      <c r="Y5" s="133"/>
      <c r="Z5" s="133"/>
    </row>
    <row r="6" spans="1:40" ht="45" x14ac:dyDescent="0.25">
      <c r="B6" s="263" t="s">
        <v>37</v>
      </c>
      <c r="C6" s="211"/>
      <c r="D6" s="434" t="s">
        <v>743</v>
      </c>
      <c r="E6" s="261" t="s">
        <v>51</v>
      </c>
      <c r="F6" s="261" t="s">
        <v>52</v>
      </c>
      <c r="G6" s="165" t="s">
        <v>744</v>
      </c>
      <c r="H6" s="165" t="s">
        <v>745</v>
      </c>
      <c r="I6" s="261" t="s">
        <v>746</v>
      </c>
      <c r="L6" s="434" t="s">
        <v>743</v>
      </c>
      <c r="M6" s="261" t="s">
        <v>51</v>
      </c>
      <c r="N6" s="261" t="s">
        <v>52</v>
      </c>
      <c r="O6" s="165" t="s">
        <v>744</v>
      </c>
      <c r="P6" s="165" t="s">
        <v>745</v>
      </c>
      <c r="Q6" s="261" t="s">
        <v>746</v>
      </c>
      <c r="R6" s="133"/>
      <c r="S6" s="127"/>
      <c r="T6" s="127"/>
      <c r="U6" s="127"/>
      <c r="V6" s="127"/>
      <c r="W6" s="127"/>
      <c r="X6" s="127"/>
      <c r="Y6" s="133"/>
      <c r="Z6" s="133"/>
      <c r="AJ6" s="292"/>
      <c r="AK6" s="292"/>
      <c r="AL6" s="292"/>
      <c r="AM6" s="292"/>
      <c r="AN6" s="292"/>
    </row>
    <row r="7" spans="1:40" ht="14.45" customHeight="1" x14ac:dyDescent="0.25">
      <c r="B7" s="228" t="s">
        <v>1287</v>
      </c>
      <c r="C7" s="168"/>
      <c r="D7" s="391">
        <f>'Inputs and eligible population'!F49</f>
        <v>1882.9810103249768</v>
      </c>
      <c r="E7" s="391">
        <f>'Inputs and eligible population'!G49</f>
        <v>1901.1363506847645</v>
      </c>
      <c r="F7" s="391">
        <f>'Inputs and eligible population'!H49</f>
        <v>1919.4667413407433</v>
      </c>
      <c r="G7" s="391">
        <f>'Inputs and eligible population'!I49</f>
        <v>1937.9738700941659</v>
      </c>
      <c r="H7" s="391">
        <f>'Inputs and eligible population'!J49</f>
        <v>1956.6594410197388</v>
      </c>
      <c r="I7" s="391">
        <f>'Inputs and eligible population'!K49</f>
        <v>1975.5251746225297</v>
      </c>
      <c r="P7" s="133"/>
      <c r="Q7" s="133"/>
      <c r="R7" s="133"/>
      <c r="S7" s="127"/>
      <c r="T7" s="127"/>
      <c r="U7" s="127"/>
      <c r="V7" s="127"/>
      <c r="W7" s="127"/>
      <c r="X7" s="127"/>
      <c r="Y7" s="133"/>
      <c r="Z7" s="133"/>
      <c r="AJ7" s="292"/>
      <c r="AK7" s="292"/>
      <c r="AL7" s="292"/>
      <c r="AM7" s="292"/>
      <c r="AN7" s="292"/>
    </row>
    <row r="8" spans="1:40" ht="14.45" customHeight="1" x14ac:dyDescent="0.25">
      <c r="B8"/>
      <c r="P8" s="133"/>
      <c r="Q8" s="133"/>
      <c r="R8" s="133"/>
      <c r="S8" s="127"/>
      <c r="T8" s="127"/>
      <c r="U8" s="127"/>
      <c r="V8" s="127"/>
      <c r="W8" s="127"/>
      <c r="X8" s="127"/>
      <c r="Y8" s="133"/>
      <c r="Z8" s="133"/>
      <c r="AJ8" s="292"/>
      <c r="AK8" s="292"/>
      <c r="AL8" s="292"/>
      <c r="AM8" s="292"/>
      <c r="AN8" s="292"/>
    </row>
    <row r="9" spans="1:40" ht="14.45" customHeight="1" x14ac:dyDescent="0.25">
      <c r="B9" s="285" t="s">
        <v>750</v>
      </c>
      <c r="C9" s="451"/>
      <c r="D9" s="451"/>
      <c r="E9" s="452"/>
      <c r="F9" s="451"/>
      <c r="G9" s="453"/>
      <c r="H9" s="454"/>
      <c r="I9" s="454"/>
      <c r="J9" s="160"/>
      <c r="L9" s="257" t="s">
        <v>166</v>
      </c>
      <c r="M9" s="257" t="s">
        <v>166</v>
      </c>
      <c r="N9" s="257" t="s">
        <v>166</v>
      </c>
      <c r="O9" s="257" t="s">
        <v>166</v>
      </c>
      <c r="P9" s="257" t="s">
        <v>166</v>
      </c>
      <c r="Q9" s="257" t="s">
        <v>166</v>
      </c>
      <c r="R9" s="133"/>
      <c r="S9" s="127"/>
      <c r="T9" s="127"/>
      <c r="U9" s="127"/>
      <c r="V9" s="127"/>
      <c r="W9" s="127"/>
      <c r="X9" s="127"/>
      <c r="Y9" s="133"/>
      <c r="Z9" s="133"/>
      <c r="AJ9" s="292"/>
      <c r="AK9" s="292"/>
      <c r="AL9" s="292"/>
      <c r="AM9" s="292"/>
      <c r="AN9" s="292"/>
    </row>
    <row r="10" spans="1:40" ht="14.45" customHeight="1" x14ac:dyDescent="0.25">
      <c r="A10" s="302"/>
      <c r="B10" s="458" t="str">
        <f>B32</f>
        <v>First attendances - number of appointments</v>
      </c>
      <c r="C10" s="396"/>
      <c r="D10" s="436">
        <f t="shared" ref="D10:I10" si="0">D38</f>
        <v>1882.9810103249768</v>
      </c>
      <c r="E10" s="436">
        <f t="shared" si="0"/>
        <v>1901.1363506847642</v>
      </c>
      <c r="F10" s="436">
        <f t="shared" si="0"/>
        <v>1919.4667413407433</v>
      </c>
      <c r="G10" s="436">
        <f t="shared" si="0"/>
        <v>1937.9738700941659</v>
      </c>
      <c r="H10" s="436">
        <f t="shared" si="0"/>
        <v>1956.659441019739</v>
      </c>
      <c r="I10" s="436">
        <f t="shared" si="0"/>
        <v>1975.5251746225299</v>
      </c>
      <c r="L10" s="299">
        <f t="shared" ref="L10:Q10" si="1">L38</f>
        <v>581.84113219041774</v>
      </c>
      <c r="M10" s="299">
        <f t="shared" si="1"/>
        <v>587.45113236159227</v>
      </c>
      <c r="N10" s="299">
        <f t="shared" si="1"/>
        <v>593.11522307428959</v>
      </c>
      <c r="O10" s="299">
        <f t="shared" si="1"/>
        <v>598.83392585909723</v>
      </c>
      <c r="P10" s="299">
        <f t="shared" si="1"/>
        <v>604.60776727509926</v>
      </c>
      <c r="Q10" s="299">
        <f t="shared" si="1"/>
        <v>610.43727895836173</v>
      </c>
      <c r="R10" s="133"/>
      <c r="S10" s="133"/>
      <c r="T10" s="133"/>
      <c r="U10" s="133"/>
      <c r="V10" s="133"/>
      <c r="W10" s="133"/>
      <c r="X10" s="133"/>
      <c r="Y10" s="133"/>
      <c r="Z10" s="133"/>
      <c r="AJ10" s="292"/>
      <c r="AK10" s="292"/>
      <c r="AL10" s="292"/>
      <c r="AM10" s="292"/>
      <c r="AN10" s="292"/>
    </row>
    <row r="11" spans="1:40" ht="14.45" customHeight="1" x14ac:dyDescent="0.25">
      <c r="A11" s="302"/>
      <c r="B11" s="458" t="str">
        <f>B41</f>
        <v>Follow up attendances - number of appointments</v>
      </c>
      <c r="C11" s="396"/>
      <c r="D11" s="436">
        <f t="shared" ref="D11:I11" si="2">D47</f>
        <v>21540.134482207373</v>
      </c>
      <c r="E11" s="436">
        <f t="shared" si="2"/>
        <v>21739.117012550647</v>
      </c>
      <c r="F11" s="436">
        <f t="shared" si="2"/>
        <v>22439.205821262341</v>
      </c>
      <c r="G11" s="436">
        <f t="shared" si="2"/>
        <v>23181.724756923271</v>
      </c>
      <c r="H11" s="436">
        <f t="shared" si="2"/>
        <v>23405.23848371132</v>
      </c>
      <c r="I11" s="436">
        <f t="shared" si="2"/>
        <v>23630.907286818601</v>
      </c>
      <c r="L11" s="299">
        <f t="shared" ref="L11:Q11" si="3">L47</f>
        <v>3015.6188275090321</v>
      </c>
      <c r="M11" s="299">
        <f t="shared" si="3"/>
        <v>3043.4763817570906</v>
      </c>
      <c r="N11" s="299">
        <f t="shared" si="3"/>
        <v>3141.4888149767276</v>
      </c>
      <c r="O11" s="299">
        <f t="shared" si="3"/>
        <v>3245.4414659692584</v>
      </c>
      <c r="P11" s="299">
        <f t="shared" si="3"/>
        <v>3276.7333877195847</v>
      </c>
      <c r="Q11" s="299">
        <f t="shared" si="3"/>
        <v>3308.3270201546043</v>
      </c>
      <c r="R11" s="133"/>
      <c r="S11" s="133"/>
      <c r="T11" s="133"/>
      <c r="U11" s="133"/>
      <c r="V11" s="133"/>
      <c r="W11" s="133"/>
      <c r="X11" s="133"/>
      <c r="Y11" s="133"/>
      <c r="Z11" s="133"/>
      <c r="AJ11" s="292"/>
      <c r="AK11" s="292"/>
      <c r="AL11" s="292"/>
      <c r="AM11" s="292"/>
      <c r="AN11" s="292"/>
    </row>
    <row r="12" spans="1:40" x14ac:dyDescent="0.25">
      <c r="A12" s="302"/>
      <c r="B12" s="455" t="str">
        <f>B50</f>
        <v>Administrations</v>
      </c>
      <c r="C12" s="430"/>
      <c r="D12" s="429">
        <f t="shared" ref="D12:I12" si="4">D55</f>
        <v>51058.778577328478</v>
      </c>
      <c r="E12" s="429">
        <f t="shared" si="4"/>
        <v>53688.019843876507</v>
      </c>
      <c r="F12" s="429">
        <f t="shared" si="4"/>
        <v>57703.247459607861</v>
      </c>
      <c r="G12" s="429">
        <f t="shared" si="4"/>
        <v>59311.259468283999</v>
      </c>
      <c r="H12" s="429">
        <f t="shared" si="4"/>
        <v>59883.12721252031</v>
      </c>
      <c r="I12" s="429">
        <f t="shared" si="4"/>
        <v>60460.50879544139</v>
      </c>
      <c r="L12" s="299">
        <f t="shared" ref="L12:P12" si="5">L55</f>
        <v>15593.922569851666</v>
      </c>
      <c r="M12" s="299">
        <f t="shared" si="5"/>
        <v>16458.008131353166</v>
      </c>
      <c r="N12" s="299">
        <f t="shared" si="5"/>
        <v>17823.357509516052</v>
      </c>
      <c r="O12" s="299">
        <f t="shared" si="5"/>
        <v>18358.025591269947</v>
      </c>
      <c r="P12" s="299">
        <f t="shared" si="5"/>
        <v>18535.030139438848</v>
      </c>
      <c r="Q12" s="299">
        <f>Q55</f>
        <v>18713.741331381432</v>
      </c>
      <c r="R12" s="133"/>
      <c r="S12" s="133"/>
      <c r="T12" s="133"/>
      <c r="U12" s="133"/>
      <c r="V12" s="133"/>
      <c r="W12" s="133"/>
      <c r="X12" s="133"/>
      <c r="Y12" s="133"/>
      <c r="Z12" s="133"/>
      <c r="AJ12" s="292"/>
      <c r="AK12" s="292"/>
      <c r="AL12" s="292"/>
      <c r="AM12" s="292"/>
      <c r="AN12" s="292"/>
    </row>
    <row r="13" spans="1:40" x14ac:dyDescent="0.25">
      <c r="A13" s="293"/>
      <c r="B13" s="456" t="str">
        <f>B74</f>
        <v>Administrations - duration of administrations (hours)</v>
      </c>
      <c r="C13" s="463"/>
      <c r="D13" s="431">
        <f t="shared" ref="D13:I13" si="6">D80</f>
        <v>6882.2955927377907</v>
      </c>
      <c r="E13" s="431">
        <f t="shared" si="6"/>
        <v>7285.8787382433256</v>
      </c>
      <c r="F13" s="431">
        <f t="shared" si="6"/>
        <v>7939.057455789185</v>
      </c>
      <c r="G13" s="431">
        <f t="shared" si="6"/>
        <v>8190.8790536608331</v>
      </c>
      <c r="H13" s="431">
        <f t="shared" si="6"/>
        <v>8269.8539324565572</v>
      </c>
      <c r="I13" s="431">
        <f t="shared" si="6"/>
        <v>8349.5902718281177</v>
      </c>
      <c r="L13" s="209"/>
      <c r="M13" s="209"/>
      <c r="N13" s="209"/>
      <c r="O13" s="209"/>
      <c r="P13" s="428"/>
      <c r="Q13" s="428"/>
      <c r="R13" s="133"/>
      <c r="S13" s="133"/>
      <c r="T13" s="133"/>
      <c r="U13" s="133"/>
      <c r="V13" s="133"/>
      <c r="W13" s="133"/>
      <c r="X13" s="133"/>
      <c r="Y13" s="133"/>
      <c r="Z13" s="133"/>
      <c r="AJ13" s="292"/>
      <c r="AK13" s="292"/>
      <c r="AL13" s="292"/>
      <c r="AM13" s="292"/>
      <c r="AN13" s="292"/>
    </row>
    <row r="14" spans="1:40" x14ac:dyDescent="0.25">
      <c r="A14" s="293"/>
      <c r="B14" s="456" t="str">
        <f>B83</f>
        <v>Preparation time before administration (hours)</v>
      </c>
      <c r="C14" s="463"/>
      <c r="D14" s="431">
        <f t="shared" ref="D14:I14" si="7">D89</f>
        <v>10323.443389106686</v>
      </c>
      <c r="E14" s="431">
        <f t="shared" si="7"/>
        <v>10928.818107364988</v>
      </c>
      <c r="F14" s="431">
        <f t="shared" si="7"/>
        <v>11908.586183683778</v>
      </c>
      <c r="G14" s="431">
        <f t="shared" si="7"/>
        <v>12286.31858049125</v>
      </c>
      <c r="H14" s="431">
        <f t="shared" si="7"/>
        <v>12404.780898684836</v>
      </c>
      <c r="I14" s="431">
        <f t="shared" si="7"/>
        <v>12524.385407742178</v>
      </c>
      <c r="L14" s="209"/>
      <c r="M14" s="209"/>
      <c r="N14" s="209"/>
      <c r="O14" s="209"/>
      <c r="P14" s="428"/>
      <c r="Q14" s="428"/>
      <c r="R14" s="133"/>
      <c r="S14" s="133"/>
      <c r="T14" s="133"/>
      <c r="U14" s="133"/>
      <c r="V14" s="133"/>
      <c r="W14" s="133"/>
      <c r="X14" s="133"/>
      <c r="Y14" s="133"/>
      <c r="Z14" s="133"/>
      <c r="AJ14" s="292"/>
      <c r="AK14" s="292"/>
      <c r="AL14" s="292"/>
      <c r="AM14" s="292"/>
      <c r="AN14" s="292"/>
    </row>
    <row r="15" spans="1:40" x14ac:dyDescent="0.25">
      <c r="A15" s="293"/>
      <c r="B15" s="456" t="str">
        <f>B92</f>
        <v>Post administration nursing time (hours)</v>
      </c>
      <c r="C15" s="463"/>
      <c r="D15" s="431">
        <f t="shared" ref="D15:I15" si="8">D98</f>
        <v>10323.443389106686</v>
      </c>
      <c r="E15" s="432">
        <f t="shared" si="8"/>
        <v>10928.818107364988</v>
      </c>
      <c r="F15" s="431">
        <f t="shared" si="8"/>
        <v>11908.586183683778</v>
      </c>
      <c r="G15" s="431">
        <f t="shared" si="8"/>
        <v>12286.31858049125</v>
      </c>
      <c r="H15" s="431">
        <f t="shared" si="8"/>
        <v>12404.780898684836</v>
      </c>
      <c r="I15" s="431">
        <f t="shared" si="8"/>
        <v>12524.385407742178</v>
      </c>
      <c r="L15" s="209"/>
      <c r="M15" s="209"/>
      <c r="N15" s="209"/>
      <c r="O15" s="209"/>
      <c r="P15" s="428"/>
      <c r="Q15" s="428"/>
      <c r="R15" s="133"/>
      <c r="S15" s="133"/>
      <c r="T15" s="133"/>
      <c r="U15" s="133"/>
      <c r="V15" s="133"/>
      <c r="W15" s="133"/>
      <c r="X15" s="133"/>
      <c r="Y15" s="133"/>
      <c r="Z15" s="133"/>
      <c r="AJ15" s="292"/>
      <c r="AK15" s="292"/>
      <c r="AL15" s="292"/>
      <c r="AM15" s="292"/>
      <c r="AN15" s="292"/>
    </row>
    <row r="16" spans="1:40" hidden="1" x14ac:dyDescent="0.25">
      <c r="A16" s="295"/>
      <c r="B16" s="457" t="str">
        <f>B102</f>
        <v>In-house aseptic unit preparations, number made</v>
      </c>
      <c r="C16" s="464"/>
      <c r="D16" s="433" t="e">
        <f t="shared" ref="D16:I16" si="9">D107</f>
        <v>#REF!</v>
      </c>
      <c r="E16" s="433" t="e">
        <f t="shared" si="9"/>
        <v>#REF!</v>
      </c>
      <c r="F16" s="433" t="e">
        <f t="shared" si="9"/>
        <v>#REF!</v>
      </c>
      <c r="G16" s="433" t="e">
        <f t="shared" si="9"/>
        <v>#REF!</v>
      </c>
      <c r="H16" s="433" t="e">
        <f t="shared" si="9"/>
        <v>#REF!</v>
      </c>
      <c r="I16" s="433" t="e">
        <f t="shared" si="9"/>
        <v>#REF!</v>
      </c>
      <c r="L16" s="209"/>
      <c r="M16" s="209"/>
      <c r="N16" s="209"/>
      <c r="O16" s="209"/>
      <c r="P16" s="428"/>
      <c r="Q16" s="428"/>
      <c r="R16" s="133"/>
      <c r="S16" s="133"/>
      <c r="T16" s="133"/>
      <c r="U16" s="133"/>
      <c r="V16" s="133"/>
      <c r="W16" s="133"/>
      <c r="X16" s="133"/>
      <c r="Y16" s="133"/>
      <c r="Z16" s="133"/>
      <c r="AJ16" s="292"/>
      <c r="AK16" s="292"/>
      <c r="AL16" s="292"/>
      <c r="AM16" s="292"/>
      <c r="AN16" s="292"/>
    </row>
    <row r="17" spans="1:40" hidden="1" x14ac:dyDescent="0.25">
      <c r="A17" s="295"/>
      <c r="B17" s="457" t="str">
        <f>B110</f>
        <v>Bought-in aseptic unit preparations, number bought in</v>
      </c>
      <c r="C17" s="464"/>
      <c r="D17" s="433" t="e">
        <f t="shared" ref="D17:I17" si="10">D115</f>
        <v>#REF!</v>
      </c>
      <c r="E17" s="433" t="e">
        <f t="shared" si="10"/>
        <v>#REF!</v>
      </c>
      <c r="F17" s="433" t="e">
        <f t="shared" si="10"/>
        <v>#REF!</v>
      </c>
      <c r="G17" s="433" t="e">
        <f t="shared" si="10"/>
        <v>#REF!</v>
      </c>
      <c r="H17" s="433" t="e">
        <f t="shared" si="10"/>
        <v>#REF!</v>
      </c>
      <c r="I17" s="433" t="e">
        <f t="shared" si="10"/>
        <v>#REF!</v>
      </c>
      <c r="L17" s="209"/>
      <c r="M17" s="209"/>
      <c r="N17" s="209"/>
      <c r="O17" s="209"/>
      <c r="P17" s="428"/>
      <c r="Q17" s="428"/>
      <c r="R17" s="133"/>
      <c r="S17" s="133"/>
      <c r="T17" s="133"/>
      <c r="U17" s="133"/>
      <c r="V17" s="133"/>
      <c r="W17" s="133"/>
      <c r="X17" s="133"/>
      <c r="Y17" s="133"/>
      <c r="Z17" s="133"/>
      <c r="AJ17" s="292"/>
      <c r="AK17" s="292"/>
      <c r="AL17" s="292"/>
      <c r="AM17" s="292"/>
      <c r="AN17" s="292"/>
    </row>
    <row r="18" spans="1:40" hidden="1" x14ac:dyDescent="0.25">
      <c r="A18" s="295"/>
      <c r="B18" s="457" t="str">
        <f>B118</f>
        <v>In-house aseptic unit preparations, pharmacy time (hours)</v>
      </c>
      <c r="C18" s="464"/>
      <c r="D18" s="433" t="e">
        <f t="shared" ref="D18:I18" si="11">D123</f>
        <v>#REF!</v>
      </c>
      <c r="E18" s="433" t="e">
        <f t="shared" si="11"/>
        <v>#REF!</v>
      </c>
      <c r="F18" s="433" t="e">
        <f t="shared" si="11"/>
        <v>#REF!</v>
      </c>
      <c r="G18" s="433" t="e">
        <f t="shared" si="11"/>
        <v>#REF!</v>
      </c>
      <c r="H18" s="433" t="e">
        <f t="shared" si="11"/>
        <v>#REF!</v>
      </c>
      <c r="I18" s="433" t="e">
        <f t="shared" si="11"/>
        <v>#REF!</v>
      </c>
      <c r="L18" s="209"/>
      <c r="M18" s="209"/>
      <c r="N18" s="209"/>
      <c r="O18" s="209"/>
      <c r="P18" s="428"/>
      <c r="Q18" s="428"/>
      <c r="R18" s="133"/>
      <c r="S18" s="133"/>
      <c r="T18" s="133"/>
      <c r="U18" s="133"/>
      <c r="V18" s="133"/>
      <c r="W18" s="133"/>
      <c r="X18" s="133"/>
      <c r="Y18" s="133"/>
      <c r="Z18" s="133"/>
      <c r="AJ18" s="292"/>
      <c r="AK18" s="292"/>
      <c r="AL18" s="292"/>
      <c r="AM18" s="292"/>
      <c r="AN18" s="292"/>
    </row>
    <row r="19" spans="1:40" hidden="1" x14ac:dyDescent="0.25">
      <c r="A19" s="295"/>
      <c r="B19" s="457" t="str">
        <f>B126</f>
        <v>Bought-in aseptic unit preparations, pharmacy time (hours)</v>
      </c>
      <c r="C19" s="464"/>
      <c r="D19" s="433" t="e">
        <f t="shared" ref="D19:I19" si="12">D131</f>
        <v>#REF!</v>
      </c>
      <c r="E19" s="433" t="e">
        <f t="shared" si="12"/>
        <v>#REF!</v>
      </c>
      <c r="F19" s="433" t="e">
        <f t="shared" si="12"/>
        <v>#REF!</v>
      </c>
      <c r="G19" s="433" t="e">
        <f t="shared" si="12"/>
        <v>#REF!</v>
      </c>
      <c r="H19" s="433" t="e">
        <f t="shared" si="12"/>
        <v>#REF!</v>
      </c>
      <c r="I19" s="433" t="e">
        <f t="shared" si="12"/>
        <v>#REF!</v>
      </c>
      <c r="L19" s="209"/>
      <c r="M19" s="209"/>
      <c r="N19" s="209"/>
      <c r="O19" s="209"/>
      <c r="P19" s="428"/>
      <c r="Q19" s="428"/>
      <c r="R19" s="133"/>
      <c r="S19" s="133"/>
      <c r="T19" s="133"/>
      <c r="U19" s="133"/>
      <c r="V19" s="133"/>
      <c r="W19" s="133"/>
      <c r="X19" s="133"/>
      <c r="Y19" s="133"/>
      <c r="Z19" s="133"/>
      <c r="AJ19" s="292"/>
      <c r="AK19" s="292"/>
      <c r="AL19" s="292"/>
      <c r="AM19" s="292"/>
      <c r="AN19" s="292"/>
    </row>
    <row r="20" spans="1:40" x14ac:dyDescent="0.25">
      <c r="A20" s="295"/>
      <c r="B20" s="457" t="str">
        <f>B134</f>
        <v>Drug regimen prep (hours) (including aseptics)</v>
      </c>
      <c r="C20" s="464"/>
      <c r="D20" s="433">
        <f t="shared" ref="D20:I20" si="13">D140</f>
        <v>0</v>
      </c>
      <c r="E20" s="433">
        <f t="shared" si="13"/>
        <v>0</v>
      </c>
      <c r="F20" s="433">
        <f t="shared" si="13"/>
        <v>0</v>
      </c>
      <c r="G20" s="433">
        <f t="shared" si="13"/>
        <v>0</v>
      </c>
      <c r="H20" s="433">
        <f t="shared" si="13"/>
        <v>0</v>
      </c>
      <c r="I20" s="433">
        <f t="shared" si="13"/>
        <v>0</v>
      </c>
      <c r="L20" s="209"/>
      <c r="M20" s="209"/>
      <c r="N20" s="209"/>
      <c r="O20" s="209"/>
      <c r="P20" s="428"/>
      <c r="Q20" s="428"/>
      <c r="R20" s="133"/>
      <c r="S20" s="133"/>
      <c r="T20" s="133"/>
      <c r="U20" s="133"/>
      <c r="V20" s="133"/>
      <c r="W20" s="133"/>
      <c r="X20" s="133"/>
      <c r="Y20" s="133"/>
      <c r="Z20" s="133"/>
      <c r="AJ20" s="292"/>
      <c r="AK20" s="292"/>
      <c r="AL20" s="292"/>
      <c r="AM20" s="292"/>
      <c r="AN20" s="292"/>
    </row>
    <row r="21" spans="1:40" ht="14.45" customHeight="1" x14ac:dyDescent="0.25">
      <c r="A21" s="338"/>
      <c r="B21" s="459" t="str">
        <f>B144</f>
        <v>Appointments with x specialty</v>
      </c>
      <c r="C21" s="465"/>
      <c r="D21" s="437">
        <f t="shared" ref="D21:I21" si="14">D150</f>
        <v>0</v>
      </c>
      <c r="E21" s="437">
        <f t="shared" si="14"/>
        <v>0</v>
      </c>
      <c r="F21" s="437">
        <f t="shared" si="14"/>
        <v>0</v>
      </c>
      <c r="G21" s="437">
        <f t="shared" si="14"/>
        <v>0</v>
      </c>
      <c r="H21" s="437">
        <f t="shared" si="14"/>
        <v>0</v>
      </c>
      <c r="I21" s="437">
        <f t="shared" si="14"/>
        <v>0</v>
      </c>
      <c r="L21" s="299">
        <f t="shared" ref="L21:Q21" si="15">L150</f>
        <v>0</v>
      </c>
      <c r="M21" s="299">
        <f t="shared" si="15"/>
        <v>0</v>
      </c>
      <c r="N21" s="299">
        <f t="shared" si="15"/>
        <v>0</v>
      </c>
      <c r="O21" s="299">
        <f t="shared" si="15"/>
        <v>0</v>
      </c>
      <c r="P21" s="299">
        <f t="shared" si="15"/>
        <v>0</v>
      </c>
      <c r="Q21" s="299">
        <f t="shared" si="15"/>
        <v>0</v>
      </c>
      <c r="R21" s="133"/>
      <c r="S21" s="133"/>
      <c r="T21" s="133"/>
      <c r="U21" s="133"/>
      <c r="V21" s="133"/>
      <c r="W21" s="133"/>
      <c r="X21" s="133"/>
      <c r="Y21" s="133"/>
      <c r="Z21" s="133"/>
      <c r="AJ21" s="292"/>
      <c r="AK21" s="292"/>
      <c r="AL21" s="292"/>
      <c r="AM21" s="292"/>
      <c r="AN21" s="292"/>
    </row>
    <row r="22" spans="1:40" ht="14.45" customHeight="1" x14ac:dyDescent="0.25">
      <c r="A22" s="296"/>
      <c r="B22" s="460" t="str">
        <f>B154</f>
        <v>Full blood count</v>
      </c>
      <c r="C22" s="466"/>
      <c r="D22" s="438">
        <f t="shared" ref="D22:I22" si="16">D160</f>
        <v>21461.520852710266</v>
      </c>
      <c r="E22" s="438">
        <f t="shared" si="16"/>
        <v>21659.777169439145</v>
      </c>
      <c r="F22" s="438">
        <f t="shared" si="16"/>
        <v>22125.249351933664</v>
      </c>
      <c r="G22" s="438">
        <f t="shared" si="16"/>
        <v>22613.878130531841</v>
      </c>
      <c r="H22" s="438">
        <f t="shared" si="16"/>
        <v>22831.916789479175</v>
      </c>
      <c r="I22" s="438">
        <f t="shared" si="16"/>
        <v>23052.057735195776</v>
      </c>
      <c r="L22" s="209"/>
      <c r="M22" s="209"/>
      <c r="N22" s="209"/>
      <c r="O22" s="209"/>
      <c r="P22" s="428"/>
      <c r="Q22" s="428"/>
      <c r="R22" s="133"/>
      <c r="S22" s="133"/>
      <c r="T22" s="133"/>
      <c r="U22" s="133"/>
      <c r="V22" s="133"/>
      <c r="W22" s="133"/>
      <c r="X22" s="133"/>
      <c r="Y22" s="133"/>
      <c r="Z22" s="133"/>
      <c r="AJ22" s="292"/>
      <c r="AK22" s="292"/>
      <c r="AL22" s="292"/>
      <c r="AM22" s="292"/>
      <c r="AN22" s="292"/>
    </row>
    <row r="23" spans="1:40" ht="14.45" customHeight="1" x14ac:dyDescent="0.25">
      <c r="A23" s="296"/>
      <c r="B23" s="460" t="str">
        <f>B163</f>
        <v>Biochemistry tests</v>
      </c>
      <c r="C23" s="466"/>
      <c r="D23" s="438">
        <f t="shared" ref="D23:I23" si="17">D169</f>
        <v>18603.852382010773</v>
      </c>
      <c r="E23" s="438">
        <f t="shared" si="17"/>
        <v>18783.227144765471</v>
      </c>
      <c r="F23" s="438">
        <f t="shared" si="17"/>
        <v>19196.522968493617</v>
      </c>
      <c r="G23" s="438">
        <f t="shared" si="17"/>
        <v>19630.694351735237</v>
      </c>
      <c r="H23" s="438">
        <f t="shared" si="17"/>
        <v>19709.201662611107</v>
      </c>
      <c r="I23" s="438">
        <f t="shared" si="17"/>
        <v>19899.233990309745</v>
      </c>
      <c r="L23" s="209"/>
      <c r="M23" s="209"/>
      <c r="N23" s="209"/>
      <c r="O23" s="209"/>
      <c r="P23" s="428"/>
      <c r="Q23" s="428"/>
      <c r="R23" s="133"/>
      <c r="S23" s="133"/>
      <c r="T23" s="133"/>
      <c r="U23" s="133"/>
      <c r="V23" s="133"/>
      <c r="W23" s="133"/>
      <c r="X23" s="133"/>
      <c r="Y23" s="133"/>
      <c r="Z23" s="133"/>
      <c r="AJ23" s="292"/>
      <c r="AK23" s="292"/>
      <c r="AL23" s="292"/>
      <c r="AM23" s="292"/>
      <c r="AN23" s="292"/>
    </row>
    <row r="24" spans="1:40" ht="14.45" customHeight="1" x14ac:dyDescent="0.25">
      <c r="A24" s="296"/>
      <c r="B24" s="460" t="str">
        <f>B172</f>
        <v>Immunoglobulin tests</v>
      </c>
      <c r="C24" s="466"/>
      <c r="D24" s="438">
        <f t="shared" ref="D24:I24" si="18">D178</f>
        <v>11749.801504427856</v>
      </c>
      <c r="E24" s="438">
        <f t="shared" si="18"/>
        <v>11863.090828272931</v>
      </c>
      <c r="F24" s="438">
        <f t="shared" si="18"/>
        <v>12124.119769574916</v>
      </c>
      <c r="G24" s="438">
        <f t="shared" si="18"/>
        <v>12398.333274780151</v>
      </c>
      <c r="H24" s="438">
        <f t="shared" si="18"/>
        <v>12447.916839543854</v>
      </c>
      <c r="I24" s="438">
        <f t="shared" si="18"/>
        <v>12567.937257037735</v>
      </c>
      <c r="L24" s="209"/>
      <c r="M24" s="209"/>
      <c r="N24" s="209"/>
      <c r="O24" s="209"/>
      <c r="P24" s="428"/>
      <c r="Q24" s="428"/>
      <c r="R24" s="133"/>
      <c r="S24" s="133"/>
      <c r="T24" s="133"/>
      <c r="U24" s="133"/>
      <c r="V24" s="133"/>
      <c r="W24" s="133"/>
      <c r="X24" s="133"/>
      <c r="Y24" s="133"/>
      <c r="Z24" s="133"/>
      <c r="AJ24" s="292"/>
      <c r="AK24" s="292"/>
      <c r="AL24" s="292"/>
      <c r="AM24" s="292"/>
      <c r="AN24" s="292"/>
    </row>
    <row r="25" spans="1:40" ht="14.45" customHeight="1" x14ac:dyDescent="0.25">
      <c r="A25" s="296"/>
      <c r="B25" s="461" t="str">
        <f>B181</f>
        <v>Protein electrophoresis</v>
      </c>
      <c r="C25" s="447"/>
      <c r="D25" s="438">
        <f t="shared" ref="D25:I25" si="19">D187</f>
        <v>12728.951629796844</v>
      </c>
      <c r="E25" s="438">
        <f t="shared" si="19"/>
        <v>12851.681730629007</v>
      </c>
      <c r="F25" s="438">
        <f t="shared" si="19"/>
        <v>13134.46308370616</v>
      </c>
      <c r="G25" s="438">
        <f t="shared" si="19"/>
        <v>13431.52771434516</v>
      </c>
      <c r="H25" s="438">
        <f t="shared" si="19"/>
        <v>13485.243242839177</v>
      </c>
      <c r="I25" s="438">
        <f t="shared" si="19"/>
        <v>13615.265361790878</v>
      </c>
      <c r="J25" s="133"/>
      <c r="K25" s="133"/>
      <c r="L25" s="209"/>
      <c r="M25" s="209"/>
      <c r="N25" s="209"/>
      <c r="O25" s="209"/>
      <c r="P25" s="428"/>
      <c r="Q25" s="428"/>
      <c r="R25" s="133"/>
      <c r="S25" s="133"/>
      <c r="T25" s="133"/>
      <c r="U25" s="133"/>
      <c r="V25" s="133"/>
      <c r="W25" s="133"/>
      <c r="X25" s="133"/>
      <c r="Y25" s="133"/>
      <c r="Z25" s="133"/>
    </row>
    <row r="26" spans="1:40" ht="14.45" customHeight="1" x14ac:dyDescent="0.25">
      <c r="A26" s="297"/>
      <c r="B26" s="462" t="str">
        <f>B191</f>
        <v>Adverse events, various (cases)</v>
      </c>
      <c r="C26" s="444"/>
      <c r="D26" s="439">
        <f t="shared" ref="D26:I26" si="20">D210</f>
        <v>1906.179201248671</v>
      </c>
      <c r="E26" s="439">
        <f t="shared" si="20"/>
        <v>2092.7003729082699</v>
      </c>
      <c r="F26" s="439">
        <f t="shared" si="20"/>
        <v>2287.7854841490471</v>
      </c>
      <c r="G26" s="439">
        <f t="shared" si="20"/>
        <v>2309.8438713059836</v>
      </c>
      <c r="H26" s="439">
        <f t="shared" si="20"/>
        <v>2332.1149411848514</v>
      </c>
      <c r="I26" s="439">
        <f t="shared" si="20"/>
        <v>2354.6007444315082</v>
      </c>
      <c r="J26" s="133"/>
      <c r="K26" s="133"/>
      <c r="L26" s="299">
        <f t="shared" ref="L26:Q26" si="21">L210</f>
        <v>3128.6705486793649</v>
      </c>
      <c r="M26" s="299">
        <f t="shared" si="21"/>
        <v>3276.8115669517456</v>
      </c>
      <c r="N26" s="299">
        <f t="shared" si="21"/>
        <v>3431.1278932610944</v>
      </c>
      <c r="O26" s="299">
        <f t="shared" si="21"/>
        <v>3464.2101677920341</v>
      </c>
      <c r="P26" s="299">
        <f t="shared" si="21"/>
        <v>3497.6114152444698</v>
      </c>
      <c r="Q26" s="299">
        <f t="shared" si="21"/>
        <v>3531.3347110938962</v>
      </c>
      <c r="R26" s="133"/>
      <c r="S26" s="133"/>
      <c r="T26" s="133"/>
      <c r="U26" s="133"/>
      <c r="V26" s="133"/>
      <c r="W26" s="133"/>
      <c r="X26" s="133"/>
      <c r="Y26" s="133"/>
      <c r="Z26" s="133"/>
    </row>
    <row r="27" spans="1:40" ht="14.45" customHeight="1" x14ac:dyDescent="0.25">
      <c r="B27" s="250"/>
      <c r="D27" s="292"/>
      <c r="F27" s="133"/>
      <c r="G27" s="133"/>
      <c r="H27" s="133"/>
      <c r="I27" s="133"/>
      <c r="J27" s="133"/>
      <c r="K27" s="133"/>
      <c r="L27" s="300">
        <f t="shared" ref="L27:Q27" si="22">SUM(L10:L26)</f>
        <v>22320.053078230481</v>
      </c>
      <c r="M27" s="300">
        <f t="shared" si="22"/>
        <v>23365.747212423597</v>
      </c>
      <c r="N27" s="300">
        <f t="shared" si="22"/>
        <v>24989.089440828164</v>
      </c>
      <c r="O27" s="300">
        <f t="shared" si="22"/>
        <v>25666.511150890336</v>
      </c>
      <c r="P27" s="300">
        <f t="shared" si="22"/>
        <v>25913.982709677999</v>
      </c>
      <c r="Q27" s="300">
        <f t="shared" si="22"/>
        <v>26163.840341588293</v>
      </c>
      <c r="R27" s="133"/>
      <c r="S27" s="133"/>
      <c r="T27" s="133"/>
      <c r="U27" s="133"/>
      <c r="V27" s="133"/>
      <c r="W27" s="133"/>
      <c r="X27" s="133"/>
      <c r="Y27" s="133"/>
      <c r="Z27" s="133"/>
    </row>
    <row r="28" spans="1:40" ht="14.45" customHeight="1" x14ac:dyDescent="0.25">
      <c r="B28" s="250"/>
      <c r="D28" s="292"/>
      <c r="F28" s="133"/>
      <c r="G28" s="133"/>
      <c r="H28" s="133"/>
      <c r="I28" s="133"/>
      <c r="J28" s="133"/>
      <c r="K28" s="133"/>
      <c r="L28" s="710"/>
      <c r="M28" s="710"/>
      <c r="N28" s="710"/>
      <c r="O28" s="710"/>
      <c r="P28" s="710"/>
      <c r="Q28" s="183"/>
      <c r="R28" s="133"/>
      <c r="S28" s="133"/>
      <c r="T28" s="133"/>
      <c r="U28" s="133"/>
      <c r="V28" s="133"/>
      <c r="W28" s="133"/>
      <c r="X28" s="133"/>
      <c r="Y28" s="133"/>
      <c r="Z28" s="133"/>
    </row>
    <row r="29" spans="1:40" x14ac:dyDescent="0.25">
      <c r="B29" s="383" t="s">
        <v>751</v>
      </c>
      <c r="C29" s="384"/>
      <c r="D29" s="384"/>
      <c r="E29" s="385"/>
      <c r="F29" s="384"/>
      <c r="G29" s="386"/>
      <c r="H29" s="387"/>
      <c r="I29" s="387"/>
      <c r="J29" s="387"/>
      <c r="K29" s="387"/>
      <c r="L29" s="387"/>
      <c r="M29" s="387"/>
      <c r="N29" s="387"/>
      <c r="O29" s="387"/>
      <c r="P29" s="387"/>
      <c r="Q29" s="388"/>
      <c r="R29" s="133"/>
      <c r="S29" s="133"/>
      <c r="T29" s="133"/>
      <c r="U29" s="133"/>
      <c r="V29" s="133"/>
      <c r="W29" s="133"/>
      <c r="X29" s="133"/>
      <c r="Y29" s="133"/>
      <c r="Z29" s="133"/>
      <c r="AJ29" s="292"/>
      <c r="AK29" s="292"/>
      <c r="AL29" s="292"/>
      <c r="AM29" s="292"/>
      <c r="AN29" s="292"/>
    </row>
    <row r="30" spans="1:40" x14ac:dyDescent="0.25">
      <c r="A30" s="294"/>
      <c r="B30" s="739"/>
      <c r="C30" s="734"/>
      <c r="D30" s="735"/>
      <c r="E30" s="736"/>
      <c r="F30" s="294"/>
      <c r="G30" s="294"/>
      <c r="H30" s="221"/>
      <c r="I30" s="221"/>
      <c r="J30" s="221"/>
      <c r="K30" s="221"/>
      <c r="L30" s="221"/>
      <c r="M30" s="221"/>
      <c r="N30" s="221"/>
      <c r="O30" s="221"/>
      <c r="P30" s="221"/>
      <c r="Q30" s="221"/>
      <c r="R30" s="133"/>
      <c r="S30" s="133"/>
      <c r="T30" s="133"/>
      <c r="U30" s="133"/>
      <c r="V30" s="133"/>
      <c r="W30" s="133"/>
      <c r="X30" s="133"/>
      <c r="Y30" s="133"/>
      <c r="Z30" s="133"/>
      <c r="AJ30" s="292"/>
      <c r="AK30" s="292"/>
      <c r="AL30" s="292"/>
      <c r="AM30" s="292"/>
      <c r="AN30" s="292"/>
    </row>
    <row r="31" spans="1:40" x14ac:dyDescent="0.25">
      <c r="A31" s="294"/>
      <c r="B31" s="707" t="s">
        <v>1168</v>
      </c>
      <c r="C31" s="744"/>
      <c r="D31" s="744"/>
      <c r="E31" s="708"/>
      <c r="F31" s="709"/>
      <c r="G31" s="313"/>
      <c r="H31" s="313"/>
      <c r="I31" s="396"/>
      <c r="J31" s="745"/>
      <c r="K31" s="294"/>
      <c r="L31" s="294"/>
      <c r="M31" s="294"/>
      <c r="N31" s="294"/>
      <c r="O31" s="294"/>
      <c r="P31" s="294"/>
      <c r="Q31" s="221"/>
      <c r="R31" s="133"/>
      <c r="S31" s="133"/>
      <c r="V31" s="133"/>
    </row>
    <row r="32" spans="1:40" x14ac:dyDescent="0.25">
      <c r="A32" s="737"/>
      <c r="B32" s="738" t="s">
        <v>1310</v>
      </c>
      <c r="C32" s="406"/>
      <c r="D32" s="406"/>
      <c r="E32" s="406"/>
      <c r="F32" s="406"/>
      <c r="G32" s="406"/>
      <c r="H32" s="406"/>
      <c r="I32" s="220"/>
      <c r="J32" s="221"/>
      <c r="K32" s="221"/>
      <c r="L32" s="221"/>
      <c r="M32" s="221"/>
      <c r="N32" s="221"/>
      <c r="O32" s="221"/>
      <c r="P32" s="221"/>
      <c r="Q32" s="221"/>
      <c r="R32" s="133"/>
      <c r="S32" s="133"/>
      <c r="T32" s="133"/>
      <c r="U32" s="133"/>
      <c r="V32" s="133"/>
      <c r="W32" s="133"/>
      <c r="X32" s="133"/>
      <c r="Y32" s="133"/>
      <c r="Z32" s="133"/>
      <c r="AJ32" s="292"/>
      <c r="AK32" s="292"/>
      <c r="AL32" s="292"/>
      <c r="AM32" s="292"/>
      <c r="AN32" s="292"/>
    </row>
    <row r="33" spans="1:40" ht="45" x14ac:dyDescent="0.25">
      <c r="A33" s="737"/>
      <c r="B33" s="326" t="s">
        <v>131</v>
      </c>
      <c r="C33" s="166" t="s">
        <v>752</v>
      </c>
      <c r="D33" s="434" t="s">
        <v>743</v>
      </c>
      <c r="E33" s="261" t="s">
        <v>51</v>
      </c>
      <c r="F33" s="261" t="s">
        <v>52</v>
      </c>
      <c r="G33" s="165" t="s">
        <v>744</v>
      </c>
      <c r="H33" s="165" t="s">
        <v>745</v>
      </c>
      <c r="I33" s="261" t="s">
        <v>746</v>
      </c>
      <c r="J33" s="742"/>
      <c r="K33" s="746" t="s">
        <v>1252</v>
      </c>
      <c r="L33" s="434" t="s">
        <v>743</v>
      </c>
      <c r="M33" s="261" t="s">
        <v>51</v>
      </c>
      <c r="N33" s="261" t="s">
        <v>52</v>
      </c>
      <c r="O33" s="165" t="s">
        <v>744</v>
      </c>
      <c r="P33" s="165" t="s">
        <v>745</v>
      </c>
      <c r="Q33" s="261" t="s">
        <v>746</v>
      </c>
      <c r="R33" s="133"/>
      <c r="S33" s="133"/>
      <c r="T33" s="133"/>
      <c r="U33" s="133"/>
      <c r="V33" s="133"/>
      <c r="W33" s="133"/>
      <c r="X33" s="133"/>
      <c r="Y33" s="133"/>
      <c r="Z33" s="133"/>
      <c r="AJ33" s="292"/>
      <c r="AK33" s="292"/>
      <c r="AL33" s="292"/>
      <c r="AM33" s="292"/>
      <c r="AN33" s="292"/>
    </row>
    <row r="34" spans="1:40" x14ac:dyDescent="0.25">
      <c r="A34" s="737"/>
      <c r="B34" s="358" t="s">
        <v>1247</v>
      </c>
      <c r="C34" s="704">
        <f>'Inputs and eligible population'!K98</f>
        <v>1</v>
      </c>
      <c r="D34" s="128">
        <f>'Financial impact (cash)'!D39*$C$34</f>
        <v>0</v>
      </c>
      <c r="E34" s="128">
        <f>'Financial impact (cash)'!E39*$C$34</f>
        <v>304.18181610956231</v>
      </c>
      <c r="F34" s="128">
        <f>'Financial impact (cash)'!F39*$C$34</f>
        <v>633.42402464244526</v>
      </c>
      <c r="G34" s="128">
        <f>'Financial impact (cash)'!G39*$C$34</f>
        <v>639.53137713107481</v>
      </c>
      <c r="H34" s="128">
        <f>'Financial impact (cash)'!H39*$C$34</f>
        <v>645.69761553651381</v>
      </c>
      <c r="I34" s="128">
        <f>'Financial impact (cash)'!I39*$C$34</f>
        <v>651.92330762543486</v>
      </c>
      <c r="J34" s="742"/>
      <c r="K34" s="749">
        <f>'Unit costs'!$N$122</f>
        <v>309</v>
      </c>
      <c r="L34" s="299">
        <f>(D34*'Unit costs'!$N$122)/1000</f>
        <v>0</v>
      </c>
      <c r="M34" s="299">
        <f>(E34*'Unit costs'!$N$122)/1000</f>
        <v>93.992181177854761</v>
      </c>
      <c r="N34" s="299">
        <f>(F34*'Unit costs'!$N$122)/1000</f>
        <v>195.72802361451559</v>
      </c>
      <c r="O34" s="299">
        <f>(G34*'Unit costs'!$N$122)/1000</f>
        <v>197.61519553350212</v>
      </c>
      <c r="P34" s="299">
        <f>(H34*'Unit costs'!$N$122)/1000</f>
        <v>199.52056320078279</v>
      </c>
      <c r="Q34" s="299">
        <f>(I34*'Unit costs'!$N$122)/1000</f>
        <v>201.44430205625935</v>
      </c>
      <c r="R34" s="133"/>
      <c r="S34" s="133"/>
      <c r="T34" s="133"/>
      <c r="U34" s="133"/>
      <c r="V34" s="133"/>
      <c r="W34" s="133"/>
      <c r="X34" s="133"/>
      <c r="Y34" s="133"/>
      <c r="Z34" s="133"/>
      <c r="AJ34" s="292"/>
      <c r="AK34" s="292"/>
      <c r="AL34" s="292"/>
      <c r="AM34" s="292"/>
      <c r="AN34" s="292"/>
    </row>
    <row r="35" spans="1:40" x14ac:dyDescent="0.25">
      <c r="A35" s="737"/>
      <c r="B35" s="358" t="s">
        <v>1125</v>
      </c>
      <c r="C35" s="704">
        <f>'Inputs and eligible population'!L98</f>
        <v>1</v>
      </c>
      <c r="D35" s="128">
        <f>'Financial impact (cash)'!D40*$C$34</f>
        <v>1214.5227516596101</v>
      </c>
      <c r="E35" s="128">
        <f>'Financial impact (cash)'!E40*$C$34</f>
        <v>912.54544832868692</v>
      </c>
      <c r="F35" s="128">
        <f>'Financial impact (cash)'!F40*$C$34</f>
        <v>595.03468981563037</v>
      </c>
      <c r="G35" s="128">
        <f>'Financial impact (cash)'!G40*$C$34</f>
        <v>600.77189972919143</v>
      </c>
      <c r="H35" s="128">
        <f>'Financial impact (cash)'!H40*$C$34</f>
        <v>606.56442671611899</v>
      </c>
      <c r="I35" s="128">
        <f>'Financial impact (cash)'!I40*$C$34</f>
        <v>612.41280413298421</v>
      </c>
      <c r="J35" s="742"/>
      <c r="K35" s="749">
        <f>'Unit costs'!$N$122</f>
        <v>309</v>
      </c>
      <c r="L35" s="299">
        <f>(D35*'Unit costs'!$N$122)/1000</f>
        <v>375.28753026281947</v>
      </c>
      <c r="M35" s="299">
        <f>(E35*'Unit costs'!$N$122)/1000</f>
        <v>281.97654353356427</v>
      </c>
      <c r="N35" s="299">
        <f>(F35*'Unit costs'!$N$122)/1000</f>
        <v>183.86571915302977</v>
      </c>
      <c r="O35" s="299">
        <f>(G35*'Unit costs'!$N$122)/1000</f>
        <v>185.63851701632015</v>
      </c>
      <c r="P35" s="299">
        <f>(H35*'Unit costs'!$N$122)/1000</f>
        <v>187.42840785528077</v>
      </c>
      <c r="Q35" s="299">
        <f>(I35*'Unit costs'!$N$122)/1000</f>
        <v>189.23555647709213</v>
      </c>
      <c r="R35" s="133"/>
      <c r="S35" s="133"/>
      <c r="T35" s="133"/>
      <c r="U35" s="133"/>
      <c r="V35" s="133"/>
      <c r="W35" s="133"/>
      <c r="X35" s="133"/>
      <c r="Y35" s="133"/>
      <c r="Z35" s="133"/>
      <c r="AJ35" s="292"/>
      <c r="AK35" s="292"/>
      <c r="AL35" s="292"/>
      <c r="AM35" s="292"/>
      <c r="AN35" s="292"/>
    </row>
    <row r="36" spans="1:40" x14ac:dyDescent="0.25">
      <c r="A36" s="737"/>
      <c r="B36" s="358" t="s">
        <v>1248</v>
      </c>
      <c r="C36" s="704">
        <f>'Inputs and eligible population'!M98</f>
        <v>1</v>
      </c>
      <c r="D36" s="128">
        <f>'Financial impact (cash)'!D41*$C$34</f>
        <v>122.39376567112349</v>
      </c>
      <c r="E36" s="128">
        <f>'Financial impact (cash)'!E41*$C$34</f>
        <v>133.07954454793352</v>
      </c>
      <c r="F36" s="128">
        <f>'Financial impact (cash)'!F41*$C$34</f>
        <v>134.36267189385205</v>
      </c>
      <c r="G36" s="128">
        <f>'Financial impact (cash)'!G41*$C$34</f>
        <v>135.65817090659164</v>
      </c>
      <c r="H36" s="128">
        <f>'Financial impact (cash)'!H41*$C$34</f>
        <v>136.96616087138173</v>
      </c>
      <c r="I36" s="128">
        <f>'Financial impact (cash)'!I41*$C$34</f>
        <v>138.28676222357709</v>
      </c>
      <c r="J36" s="742"/>
      <c r="K36" s="749">
        <f>'Unit costs'!$N$122</f>
        <v>309</v>
      </c>
      <c r="L36" s="299">
        <f>(D36*'Unit costs'!$N$122)/1000</f>
        <v>37.819673592377157</v>
      </c>
      <c r="M36" s="299">
        <f>(E36*'Unit costs'!$N$122)/1000</f>
        <v>41.121579265311453</v>
      </c>
      <c r="N36" s="299">
        <f>(F36*'Unit costs'!$N$122)/1000</f>
        <v>41.518065615200285</v>
      </c>
      <c r="O36" s="299">
        <f>(G36*'Unit costs'!$N$122)/1000</f>
        <v>41.918374810136818</v>
      </c>
      <c r="P36" s="299">
        <f>(H36*'Unit costs'!$N$122)/1000</f>
        <v>42.322543709256955</v>
      </c>
      <c r="Q36" s="299">
        <f>(I36*'Unit costs'!$N$122)/1000</f>
        <v>42.730609527085321</v>
      </c>
      <c r="R36" s="133"/>
      <c r="S36" s="133"/>
      <c r="T36" s="133"/>
      <c r="U36" s="133"/>
      <c r="V36" s="133"/>
      <c r="W36" s="133"/>
      <c r="X36" s="133"/>
      <c r="Y36" s="133"/>
      <c r="Z36" s="133"/>
      <c r="AJ36" s="292"/>
      <c r="AK36" s="292"/>
      <c r="AL36" s="292"/>
      <c r="AM36" s="292"/>
      <c r="AN36" s="292"/>
    </row>
    <row r="37" spans="1:40" x14ac:dyDescent="0.25">
      <c r="A37" s="737"/>
      <c r="B37" s="358" t="s">
        <v>1251</v>
      </c>
      <c r="C37" s="704">
        <f>'Inputs and eligible population'!N98</f>
        <v>1</v>
      </c>
      <c r="D37" s="128">
        <f>'Financial impact (cash)'!D42*$C$34</f>
        <v>546.06449299424321</v>
      </c>
      <c r="E37" s="128">
        <f>'Financial impact (cash)'!E42*$C$34</f>
        <v>551.32954169858169</v>
      </c>
      <c r="F37" s="128">
        <f>'Financial impact (cash)'!F42*$C$34</f>
        <v>556.64535498881548</v>
      </c>
      <c r="G37" s="128">
        <f>'Financial impact (cash)'!G42*$C$34</f>
        <v>562.01242232730806</v>
      </c>
      <c r="H37" s="128">
        <f>'Financial impact (cash)'!H42*$C$34</f>
        <v>567.43123789572417</v>
      </c>
      <c r="I37" s="128">
        <f>'Financial impact (cash)'!I42*$C$34</f>
        <v>572.90230064053355</v>
      </c>
      <c r="J37" s="742"/>
      <c r="K37" s="749">
        <f>'Unit costs'!$N$122</f>
        <v>309</v>
      </c>
      <c r="L37" s="299">
        <f>(D37*'Unit costs'!$N$122)/1000</f>
        <v>168.73392833522115</v>
      </c>
      <c r="M37" s="299">
        <f>(E37*'Unit costs'!$N$122)/1000</f>
        <v>170.36082838486175</v>
      </c>
      <c r="N37" s="299">
        <f>(F37*'Unit costs'!$N$122)/1000</f>
        <v>172.00341469154398</v>
      </c>
      <c r="O37" s="299">
        <f>(G37*'Unit costs'!$N$122)/1000</f>
        <v>173.66183849913818</v>
      </c>
      <c r="P37" s="299">
        <f>(H37*'Unit costs'!$N$122)/1000</f>
        <v>175.33625250977877</v>
      </c>
      <c r="Q37" s="299">
        <f>(I37*'Unit costs'!$N$122)/1000</f>
        <v>177.02681089792489</v>
      </c>
      <c r="R37" s="133"/>
      <c r="S37" s="133"/>
      <c r="T37" s="133"/>
      <c r="U37" s="133"/>
      <c r="V37" s="133"/>
      <c r="W37" s="133"/>
      <c r="X37" s="133"/>
      <c r="Y37" s="133"/>
      <c r="Z37" s="133"/>
      <c r="AJ37" s="292"/>
      <c r="AK37" s="292"/>
      <c r="AL37" s="292"/>
      <c r="AM37" s="292"/>
      <c r="AN37" s="292"/>
    </row>
    <row r="38" spans="1:40" x14ac:dyDescent="0.25">
      <c r="A38" s="737"/>
      <c r="B38" s="574"/>
      <c r="C38" s="289"/>
      <c r="D38" s="187">
        <f t="shared" ref="D38:I38" si="23">SUM(D34:D37)</f>
        <v>1882.9810103249768</v>
      </c>
      <c r="E38" s="187">
        <f t="shared" si="23"/>
        <v>1901.1363506847642</v>
      </c>
      <c r="F38" s="187">
        <f t="shared" si="23"/>
        <v>1919.4667413407433</v>
      </c>
      <c r="G38" s="187">
        <f t="shared" si="23"/>
        <v>1937.9738700941659</v>
      </c>
      <c r="H38" s="187">
        <f t="shared" si="23"/>
        <v>1956.659441019739</v>
      </c>
      <c r="I38" s="187">
        <f t="shared" si="23"/>
        <v>1975.5251746225299</v>
      </c>
      <c r="J38" s="742"/>
      <c r="K38" s="221"/>
      <c r="L38" s="300">
        <f t="shared" ref="L38:Q38" si="24">SUM(L34:L37)</f>
        <v>581.84113219041774</v>
      </c>
      <c r="M38" s="300">
        <f t="shared" si="24"/>
        <v>587.45113236159227</v>
      </c>
      <c r="N38" s="300">
        <f t="shared" si="24"/>
        <v>593.11522307428959</v>
      </c>
      <c r="O38" s="300">
        <f t="shared" si="24"/>
        <v>598.83392585909723</v>
      </c>
      <c r="P38" s="300">
        <f t="shared" si="24"/>
        <v>604.60776727509926</v>
      </c>
      <c r="Q38" s="300">
        <f t="shared" si="24"/>
        <v>610.43727895836173</v>
      </c>
      <c r="R38" s="133"/>
      <c r="S38" s="133"/>
      <c r="T38" s="133"/>
      <c r="U38" s="133"/>
      <c r="V38" s="133"/>
      <c r="W38" s="133"/>
      <c r="X38" s="133"/>
      <c r="Y38" s="133"/>
      <c r="Z38" s="133"/>
      <c r="AJ38" s="292"/>
      <c r="AK38" s="292"/>
      <c r="AL38" s="292"/>
      <c r="AM38" s="292"/>
      <c r="AN38" s="292"/>
    </row>
    <row r="39" spans="1:40" x14ac:dyDescent="0.25">
      <c r="A39" s="737"/>
      <c r="B39" s="262"/>
      <c r="C39" s="262"/>
      <c r="D39" s="291" t="s">
        <v>1193</v>
      </c>
      <c r="E39" s="187">
        <f>E38-$D$38</f>
        <v>18.155340359787488</v>
      </c>
      <c r="F39" s="187">
        <f>F38-$D$38</f>
        <v>36.485731015766532</v>
      </c>
      <c r="G39" s="187">
        <f>G38-$D$38</f>
        <v>54.992859769189181</v>
      </c>
      <c r="H39" s="187">
        <f>H38-$D$38</f>
        <v>73.678430694762255</v>
      </c>
      <c r="I39" s="187">
        <f>I38-$D$38</f>
        <v>92.544164297553152</v>
      </c>
      <c r="J39" s="742"/>
      <c r="K39" s="221"/>
      <c r="L39" s="221"/>
      <c r="M39" s="300">
        <f>M38-$L$38</f>
        <v>5.6100001711745335</v>
      </c>
      <c r="N39" s="300">
        <f>N38-$L$38</f>
        <v>11.27409088387185</v>
      </c>
      <c r="O39" s="300">
        <f>O38-$L$38</f>
        <v>16.992793668679496</v>
      </c>
      <c r="P39" s="300">
        <f>P38-$L$38</f>
        <v>22.766635084681525</v>
      </c>
      <c r="Q39" s="300">
        <f>Q38-$L$38</f>
        <v>28.596146767943992</v>
      </c>
      <c r="R39" s="133"/>
      <c r="S39" s="133"/>
      <c r="T39" s="133"/>
      <c r="U39" s="133"/>
      <c r="V39" s="133"/>
      <c r="W39" s="133"/>
      <c r="X39" s="133"/>
      <c r="Y39" s="133"/>
      <c r="Z39" s="133"/>
      <c r="AJ39" s="292"/>
      <c r="AK39" s="292"/>
      <c r="AL39" s="292"/>
      <c r="AM39" s="292"/>
      <c r="AN39" s="292"/>
    </row>
    <row r="40" spans="1:40" x14ac:dyDescent="0.25">
      <c r="A40" s="294"/>
      <c r="B40" s="739"/>
      <c r="C40" s="734"/>
      <c r="D40" s="735"/>
      <c r="E40" s="736"/>
      <c r="F40" s="294"/>
      <c r="G40" s="294"/>
      <c r="H40" s="294"/>
      <c r="I40" s="313"/>
      <c r="J40" s="221"/>
      <c r="K40" s="221"/>
      <c r="L40" s="221"/>
      <c r="M40" s="221"/>
      <c r="N40" s="221"/>
      <c r="O40" s="221"/>
      <c r="P40" s="221"/>
      <c r="Q40" s="221"/>
      <c r="R40" s="133"/>
      <c r="S40" s="133"/>
      <c r="T40" s="133"/>
      <c r="U40" s="133"/>
      <c r="V40" s="133"/>
      <c r="W40" s="133"/>
      <c r="X40" s="133"/>
      <c r="Y40" s="133"/>
      <c r="Z40" s="133"/>
      <c r="AJ40" s="292"/>
      <c r="AK40" s="292"/>
      <c r="AL40" s="292"/>
      <c r="AM40" s="292"/>
      <c r="AN40" s="292"/>
    </row>
    <row r="41" spans="1:40" x14ac:dyDescent="0.25">
      <c r="A41" s="294"/>
      <c r="B41" s="405" t="s">
        <v>1311</v>
      </c>
      <c r="C41" s="406"/>
      <c r="D41" s="406"/>
      <c r="E41" s="406"/>
      <c r="F41" s="406"/>
      <c r="G41" s="406"/>
      <c r="H41" s="406"/>
      <c r="I41" s="220"/>
      <c r="J41" s="221"/>
      <c r="K41" s="221"/>
      <c r="L41" s="221"/>
      <c r="M41" s="221"/>
      <c r="N41" s="221"/>
      <c r="O41" s="221"/>
      <c r="P41" s="221"/>
      <c r="Q41" s="221"/>
      <c r="R41" s="133"/>
      <c r="S41" s="133"/>
      <c r="T41" s="133"/>
      <c r="U41" s="133"/>
      <c r="V41" s="133"/>
      <c r="W41" s="133"/>
      <c r="X41" s="133"/>
      <c r="Y41" s="133"/>
      <c r="Z41" s="133"/>
      <c r="AJ41" s="292"/>
      <c r="AK41" s="292"/>
      <c r="AL41" s="292"/>
      <c r="AM41" s="292"/>
      <c r="AN41" s="292"/>
    </row>
    <row r="42" spans="1:40" ht="45" x14ac:dyDescent="0.25">
      <c r="A42" s="294"/>
      <c r="B42" s="285" t="s">
        <v>131</v>
      </c>
      <c r="C42" s="166" t="s">
        <v>752</v>
      </c>
      <c r="D42" s="434" t="s">
        <v>743</v>
      </c>
      <c r="E42" s="261" t="s">
        <v>51</v>
      </c>
      <c r="F42" s="261" t="s">
        <v>52</v>
      </c>
      <c r="G42" s="165" t="s">
        <v>744</v>
      </c>
      <c r="H42" s="165" t="s">
        <v>745</v>
      </c>
      <c r="I42" s="261" t="s">
        <v>746</v>
      </c>
      <c r="J42" s="221"/>
      <c r="K42" s="746" t="s">
        <v>1252</v>
      </c>
      <c r="L42" s="434" t="s">
        <v>743</v>
      </c>
      <c r="M42" s="261" t="s">
        <v>51</v>
      </c>
      <c r="N42" s="261" t="s">
        <v>52</v>
      </c>
      <c r="O42" s="165" t="s">
        <v>744</v>
      </c>
      <c r="P42" s="165" t="s">
        <v>745</v>
      </c>
      <c r="Q42" s="261" t="s">
        <v>746</v>
      </c>
      <c r="R42" s="133"/>
      <c r="S42" s="133"/>
      <c r="T42" s="133"/>
      <c r="U42" s="133"/>
      <c r="V42" s="133"/>
      <c r="W42" s="133"/>
      <c r="X42" s="133"/>
      <c r="Y42" s="133"/>
      <c r="Z42" s="133"/>
      <c r="AJ42" s="292"/>
      <c r="AK42" s="292"/>
      <c r="AL42" s="292"/>
      <c r="AM42" s="292"/>
      <c r="AN42" s="292"/>
    </row>
    <row r="43" spans="1:40" x14ac:dyDescent="0.25">
      <c r="A43" s="294"/>
      <c r="B43" s="358" t="s">
        <v>1247</v>
      </c>
      <c r="C43" s="704">
        <f>'Inputs and eligible population'!K100</f>
        <v>10.96</v>
      </c>
      <c r="D43" s="128">
        <f>'Financial impact (cash)'!D39*$C$43</f>
        <v>0</v>
      </c>
      <c r="E43" s="128">
        <f>'Financial impact (cash)'!E39*$C$43</f>
        <v>3333.832704560803</v>
      </c>
      <c r="F43" s="128">
        <f>'Financial impact (cash)'!F39*$C$43+('Financial impact (cash)'!E39*('Unit costs'!$O$14/'Unit costs'!$O$9)*$C$43)</f>
        <v>7432.8117381220636</v>
      </c>
      <c r="G43" s="128">
        <f>'Financial impact (cash)'!G39*$C$43+('Financial impact (cash)'!F39*('Unit costs'!$O$14/'Unit costs'!$O$9)*$C$43)</f>
        <v>8030.6419113055126</v>
      </c>
      <c r="H43" s="128">
        <f>'Financial impact (cash)'!H39*$C$43+('Financial impact (cash)'!G39*('Unit costs'!$O$14/'Unit costs'!$O$9)*$C$43)</f>
        <v>8108.0718144260773</v>
      </c>
      <c r="I43" s="128">
        <f>'Financial impact (cash)'!I39*$C$43+('Financial impact (cash)'!H39*('Unit costs'!$O$14/'Unit costs'!$O$9)*$C$43)</f>
        <v>8186.2482817644823</v>
      </c>
      <c r="J43" s="221"/>
      <c r="K43" s="749">
        <f>'Unit costs'!$N$126</f>
        <v>140</v>
      </c>
      <c r="L43" s="299">
        <f>(D43*'Unit costs'!$N$126)/1000</f>
        <v>0</v>
      </c>
      <c r="M43" s="299">
        <f>(E43*'Unit costs'!$N$126)/1000</f>
        <v>466.73657863851241</v>
      </c>
      <c r="N43" s="299">
        <f>(F43*'Unit costs'!$N$126)/1000</f>
        <v>1040.5936433370889</v>
      </c>
      <c r="O43" s="299">
        <f>(G43*'Unit costs'!$N$126)/1000</f>
        <v>1124.2898675827716</v>
      </c>
      <c r="P43" s="299">
        <f>(H43*'Unit costs'!$N$126)/1000</f>
        <v>1135.130054019651</v>
      </c>
      <c r="Q43" s="299">
        <f>(I43*'Unit costs'!$N$126)/1000</f>
        <v>1146.0747594470274</v>
      </c>
      <c r="R43" s="133"/>
      <c r="S43" s="133"/>
      <c r="T43" s="133"/>
      <c r="U43" s="133"/>
      <c r="V43" s="133"/>
      <c r="W43" s="133"/>
      <c r="X43" s="133"/>
      <c r="Y43" s="133"/>
      <c r="Z43" s="133"/>
      <c r="AJ43" s="292"/>
      <c r="AK43" s="292"/>
      <c r="AL43" s="292"/>
      <c r="AM43" s="292"/>
      <c r="AN43" s="292"/>
    </row>
    <row r="44" spans="1:40" x14ac:dyDescent="0.25">
      <c r="A44" s="294"/>
      <c r="B44" s="358" t="s">
        <v>1125</v>
      </c>
      <c r="C44" s="704">
        <f>'Inputs and eligible population'!L100</f>
        <v>10.96</v>
      </c>
      <c r="D44" s="128">
        <f>'Financial impact (cash)'!D40*$C$44+('Financial impact (cash)'!D40*('Unit costs'!$O$85/'Unit costs'!$O$80)*$C$44)</f>
        <v>13311.169358189327</v>
      </c>
      <c r="E44" s="128">
        <f>'Financial impact (cash)'!E40*$C$44+('Financial impact (cash)'!D40*('Unit costs'!$O$85/'Unit costs'!$O$80)*$C$44)</f>
        <v>10001.49811368241</v>
      </c>
      <c r="F44" s="128">
        <f>'Financial impact (cash)'!F40*$C$44+('Financial impact (cash)'!E40*('Unit costs'!$O$85/'Unit costs'!$O$80)*$C$44)</f>
        <v>6521.5802003793096</v>
      </c>
      <c r="G44" s="128">
        <f>'Financial impact (cash)'!G40*$C$44+('Financial impact (cash)'!F40*('Unit costs'!$O$85/'Unit costs'!$O$80)*$C$44)</f>
        <v>6584.4600210319386</v>
      </c>
      <c r="H44" s="128">
        <f>'Financial impact (cash)'!H40*$C$44+('Financial impact (cash)'!G40*('Unit costs'!$O$85/'Unit costs'!$O$80)*$C$44)</f>
        <v>6647.9461168086646</v>
      </c>
      <c r="I44" s="128">
        <f>'Financial impact (cash)'!I40*$C$44+('Financial impact (cash)'!H40*('Unit costs'!$O$85/'Unit costs'!$O$80)*$C$44)</f>
        <v>6712.0443332975074</v>
      </c>
      <c r="J44" s="221"/>
      <c r="K44" s="749">
        <f>'Unit costs'!$N$126</f>
        <v>140</v>
      </c>
      <c r="L44" s="299">
        <f>(D44*'Unit costs'!$N$126)/1000</f>
        <v>1863.5637101465059</v>
      </c>
      <c r="M44" s="299">
        <f>(E44*'Unit costs'!$N$126)/1000</f>
        <v>1400.2097359155375</v>
      </c>
      <c r="N44" s="299">
        <f>(F44*'Unit costs'!$N$126)/1000</f>
        <v>913.0212280531033</v>
      </c>
      <c r="O44" s="299">
        <f>(G44*'Unit costs'!$N$126)/1000</f>
        <v>921.82440294447144</v>
      </c>
      <c r="P44" s="299">
        <f>(H44*'Unit costs'!$N$126)/1000</f>
        <v>930.71245635321304</v>
      </c>
      <c r="Q44" s="299">
        <f>(I44*'Unit costs'!$N$126)/1000</f>
        <v>939.686206661651</v>
      </c>
      <c r="R44" s="133"/>
      <c r="S44" s="133"/>
      <c r="T44" s="133"/>
      <c r="U44" s="133"/>
      <c r="V44" s="133"/>
      <c r="W44" s="133"/>
      <c r="X44" s="133"/>
      <c r="Y44" s="133"/>
      <c r="Z44" s="133"/>
      <c r="AJ44" s="292"/>
      <c r="AK44" s="292"/>
      <c r="AL44" s="292"/>
      <c r="AM44" s="292"/>
      <c r="AN44" s="292"/>
    </row>
    <row r="45" spans="1:40" x14ac:dyDescent="0.25">
      <c r="A45" s="294"/>
      <c r="B45" s="358" t="s">
        <v>1248</v>
      </c>
      <c r="C45" s="704">
        <f>'Inputs and eligible population'!M100</f>
        <v>10.96</v>
      </c>
      <c r="D45" s="128">
        <f>'Financial impact (cash)'!D41*$C$45</f>
        <v>1341.4356717555136</v>
      </c>
      <c r="E45" s="128">
        <f>'Financial impact (cash)'!E41*$C$45</f>
        <v>1458.5518082453516</v>
      </c>
      <c r="F45" s="128">
        <f>'Financial impact (cash)'!F41*$C$45</f>
        <v>1472.6148839566185</v>
      </c>
      <c r="G45" s="128">
        <f>'Financial impact (cash)'!G41*$C$45</f>
        <v>1486.8135531362445</v>
      </c>
      <c r="H45" s="128">
        <f>'Financial impact (cash)'!H41*$C$45</f>
        <v>1501.1491231503439</v>
      </c>
      <c r="I45" s="128">
        <f>'Financial impact (cash)'!I41*$C$45</f>
        <v>1515.6229139704051</v>
      </c>
      <c r="J45" s="221"/>
      <c r="K45" s="749">
        <f>'Unit costs'!$N$126</f>
        <v>140</v>
      </c>
      <c r="L45" s="299">
        <f>(D45*'Unit costs'!$N$126)/1000</f>
        <v>187.80099404577189</v>
      </c>
      <c r="M45" s="299">
        <f>(E45*'Unit costs'!$N$126)/1000</f>
        <v>204.19725315434923</v>
      </c>
      <c r="N45" s="299">
        <f>(F45*'Unit costs'!$N$126)/1000</f>
        <v>206.16608375392659</v>
      </c>
      <c r="O45" s="299">
        <f>(G45*'Unit costs'!$N$126)/1000</f>
        <v>208.15389743907423</v>
      </c>
      <c r="P45" s="299">
        <f>(H45*'Unit costs'!$N$126)/1000</f>
        <v>210.16087724104815</v>
      </c>
      <c r="Q45" s="299">
        <f>(I45*'Unit costs'!$N$126)/1000</f>
        <v>212.18720795585671</v>
      </c>
      <c r="R45" s="133"/>
      <c r="S45" s="133"/>
      <c r="T45" s="133"/>
      <c r="U45" s="133"/>
      <c r="V45" s="133"/>
      <c r="W45" s="133"/>
      <c r="X45" s="133"/>
      <c r="Y45" s="133"/>
      <c r="Z45" s="133"/>
      <c r="AJ45" s="292"/>
      <c r="AK45" s="292"/>
      <c r="AL45" s="292"/>
      <c r="AM45" s="292"/>
      <c r="AN45" s="292"/>
    </row>
    <row r="46" spans="1:40" x14ac:dyDescent="0.25">
      <c r="A46" s="294"/>
      <c r="B46" s="358" t="s">
        <v>1251</v>
      </c>
      <c r="C46" s="704">
        <f>'Inputs and eligible population'!N100</f>
        <v>10.96</v>
      </c>
      <c r="D46" s="128">
        <f>'Financial impact (cash)'!D42*$C$46+('Financial impact (cash)'!D42*('Unit costs'!$O$75/'Unit costs'!$O$70)*$C$46)</f>
        <v>6887.5294522625327</v>
      </c>
      <c r="E46" s="128">
        <f>'Financial impact (cash)'!E42*$C$46+('Financial impact (cash)'!D42*('Unit costs'!$O$75/'Unit costs'!$O$70)*$C$46)</f>
        <v>6945.2343860620822</v>
      </c>
      <c r="F46" s="128">
        <f>'Financial impact (cash)'!F42*$C$46+('Financial impact (cash)'!E42*('Unit costs'!$O$75/'Unit costs'!$O$70)*$C$46)</f>
        <v>7012.1989988043506</v>
      </c>
      <c r="G46" s="128">
        <f>'Financial impact (cash)'!G42*$C$46+('Financial impact (cash)'!F42*('Unit costs'!$O$75/'Unit costs'!$O$70)*$C$46)</f>
        <v>7079.8092714495779</v>
      </c>
      <c r="H46" s="128">
        <f>'Financial impact (cash)'!H42*$C$46+('Financial impact (cash)'!G42*('Unit costs'!$O$75/'Unit costs'!$O$70)*$C$46)</f>
        <v>7148.0714293262326</v>
      </c>
      <c r="I46" s="128">
        <f>'Financial impact (cash)'!I42*$C$46+('Financial impact (cash)'!H42*('Unit costs'!$O$75/'Unit costs'!$O$70)*$C$46)</f>
        <v>7216.991757786207</v>
      </c>
      <c r="J46" s="221"/>
      <c r="K46" s="749">
        <f>'Unit costs'!$N$126</f>
        <v>140</v>
      </c>
      <c r="L46" s="299">
        <f>(D46*'Unit costs'!$N$126)/1000</f>
        <v>964.25412331675454</v>
      </c>
      <c r="M46" s="299">
        <f>(E46*'Unit costs'!$N$126)/1000</f>
        <v>972.33281404869149</v>
      </c>
      <c r="N46" s="299">
        <f>(F46*'Unit costs'!$N$126)/1000</f>
        <v>981.70785983260907</v>
      </c>
      <c r="O46" s="299">
        <f>(G46*'Unit costs'!$N$126)/1000</f>
        <v>991.1732980029409</v>
      </c>
      <c r="P46" s="299">
        <f>(H46*'Unit costs'!$N$126)/1000</f>
        <v>1000.7300001056725</v>
      </c>
      <c r="Q46" s="299">
        <f>(I46*'Unit costs'!$N$126)/1000</f>
        <v>1010.378846090069</v>
      </c>
      <c r="R46" s="133"/>
      <c r="S46" s="133"/>
      <c r="T46" s="133"/>
      <c r="U46" s="133"/>
      <c r="V46" s="133"/>
      <c r="W46" s="133"/>
      <c r="X46" s="133"/>
      <c r="Y46" s="133"/>
      <c r="Z46" s="133"/>
      <c r="AJ46" s="292"/>
      <c r="AK46" s="292"/>
      <c r="AL46" s="292"/>
      <c r="AM46" s="292"/>
      <c r="AN46" s="292"/>
    </row>
    <row r="47" spans="1:40" x14ac:dyDescent="0.25">
      <c r="A47" s="294"/>
      <c r="B47" s="286"/>
      <c r="C47" s="289"/>
      <c r="D47" s="187">
        <f t="shared" ref="D47:I47" si="25">SUM(D43:D46)</f>
        <v>21540.134482207373</v>
      </c>
      <c r="E47" s="187">
        <f t="shared" si="25"/>
        <v>21739.117012550647</v>
      </c>
      <c r="F47" s="187">
        <f t="shared" si="25"/>
        <v>22439.205821262341</v>
      </c>
      <c r="G47" s="187">
        <f t="shared" si="25"/>
        <v>23181.724756923271</v>
      </c>
      <c r="H47" s="187">
        <f t="shared" si="25"/>
        <v>23405.23848371132</v>
      </c>
      <c r="I47" s="187">
        <f t="shared" si="25"/>
        <v>23630.907286818601</v>
      </c>
      <c r="J47" s="221"/>
      <c r="K47" s="221"/>
      <c r="L47" s="300">
        <f t="shared" ref="L47:Q47" si="26">SUM(L43:L46)</f>
        <v>3015.6188275090321</v>
      </c>
      <c r="M47" s="300">
        <f t="shared" si="26"/>
        <v>3043.4763817570906</v>
      </c>
      <c r="N47" s="300">
        <f t="shared" si="26"/>
        <v>3141.4888149767276</v>
      </c>
      <c r="O47" s="300">
        <f t="shared" si="26"/>
        <v>3245.4414659692584</v>
      </c>
      <c r="P47" s="300">
        <f t="shared" si="26"/>
        <v>3276.7333877195847</v>
      </c>
      <c r="Q47" s="300">
        <f t="shared" si="26"/>
        <v>3308.3270201546043</v>
      </c>
      <c r="R47" s="133"/>
      <c r="S47" s="133"/>
      <c r="T47" s="133"/>
      <c r="U47" s="133"/>
      <c r="V47" s="133"/>
      <c r="W47" s="133"/>
      <c r="X47" s="133"/>
      <c r="Y47" s="133"/>
      <c r="Z47" s="133"/>
      <c r="AJ47" s="292"/>
      <c r="AK47" s="292"/>
      <c r="AL47" s="292"/>
      <c r="AM47" s="292"/>
      <c r="AN47" s="292"/>
    </row>
    <row r="48" spans="1:40" x14ac:dyDescent="0.25">
      <c r="A48" s="294"/>
      <c r="B48" s="312"/>
      <c r="C48" s="262"/>
      <c r="D48" s="291" t="s">
        <v>1193</v>
      </c>
      <c r="E48" s="187">
        <f>E47-$D$47</f>
        <v>198.98253034327354</v>
      </c>
      <c r="F48" s="187">
        <f>F47-$D$47</f>
        <v>899.07133905496812</v>
      </c>
      <c r="G48" s="187">
        <f>G47-$D$47</f>
        <v>1641.590274715898</v>
      </c>
      <c r="H48" s="187">
        <f>H47-$D$47</f>
        <v>1865.1040015039471</v>
      </c>
      <c r="I48" s="187">
        <f>I47-$D$47</f>
        <v>2090.7728046112279</v>
      </c>
      <c r="J48" s="221"/>
      <c r="K48" s="221"/>
      <c r="L48" s="221"/>
      <c r="M48" s="300">
        <f>M47-$L$47</f>
        <v>27.857554248058477</v>
      </c>
      <c r="N48" s="300">
        <f>N47-$L$47</f>
        <v>125.86998746769541</v>
      </c>
      <c r="O48" s="300">
        <f>O47-$L$47</f>
        <v>229.82263846022624</v>
      </c>
      <c r="P48" s="300">
        <f>P47-$L$47</f>
        <v>261.11456021055255</v>
      </c>
      <c r="Q48" s="300">
        <f>Q47-$L$47</f>
        <v>292.70819264557213</v>
      </c>
      <c r="R48" s="133"/>
      <c r="S48" s="133"/>
      <c r="T48" s="133"/>
      <c r="U48" s="133"/>
      <c r="V48" s="133"/>
      <c r="W48" s="133"/>
      <c r="X48" s="133"/>
      <c r="Y48" s="133"/>
      <c r="Z48" s="133"/>
      <c r="AJ48" s="292"/>
      <c r="AK48" s="292"/>
      <c r="AL48" s="292"/>
      <c r="AM48" s="292"/>
      <c r="AN48" s="292"/>
    </row>
    <row r="49" spans="1:40" x14ac:dyDescent="0.25">
      <c r="A49" s="294"/>
      <c r="B49" s="294"/>
      <c r="C49" s="294"/>
      <c r="D49" s="740"/>
      <c r="E49" s="741"/>
      <c r="F49" s="741"/>
      <c r="G49" s="741"/>
      <c r="H49" s="741"/>
      <c r="I49" s="741"/>
      <c r="J49" s="221"/>
      <c r="K49" s="221"/>
      <c r="L49" s="221"/>
      <c r="M49" s="221"/>
      <c r="N49" s="221"/>
      <c r="O49" s="221"/>
      <c r="P49" s="221"/>
      <c r="Q49" s="221"/>
      <c r="R49" s="133"/>
      <c r="S49" s="133"/>
      <c r="T49" s="133"/>
      <c r="U49" s="133"/>
      <c r="V49" s="133"/>
      <c r="W49" s="133"/>
      <c r="X49" s="133"/>
      <c r="Y49" s="133"/>
      <c r="Z49" s="133"/>
      <c r="AJ49" s="292"/>
      <c r="AK49" s="292"/>
      <c r="AL49" s="292"/>
      <c r="AM49" s="292"/>
      <c r="AN49" s="292"/>
    </row>
    <row r="50" spans="1:40" x14ac:dyDescent="0.25">
      <c r="A50" s="307"/>
      <c r="B50" s="398" t="s">
        <v>130</v>
      </c>
      <c r="C50" s="399"/>
      <c r="D50" s="399"/>
      <c r="E50" s="399"/>
      <c r="F50" s="399"/>
      <c r="G50" s="399"/>
      <c r="H50" s="399"/>
      <c r="I50" s="399"/>
      <c r="J50" s="440"/>
      <c r="K50" s="217"/>
      <c r="L50" s="217"/>
      <c r="M50" s="217"/>
      <c r="N50" s="217"/>
      <c r="O50" s="217"/>
      <c r="P50" s="217"/>
      <c r="Q50" s="217"/>
      <c r="R50" s="133"/>
      <c r="S50" s="133"/>
      <c r="T50" s="133"/>
      <c r="U50" s="133"/>
      <c r="V50" s="133"/>
      <c r="W50" s="133"/>
      <c r="X50" s="133"/>
      <c r="Y50" s="133"/>
      <c r="Z50" s="133"/>
      <c r="AJ50" s="292"/>
      <c r="AK50" s="292"/>
      <c r="AL50" s="292"/>
      <c r="AM50" s="292"/>
      <c r="AN50" s="292"/>
    </row>
    <row r="51" spans="1:40" ht="45" x14ac:dyDescent="0.25">
      <c r="A51" s="307"/>
      <c r="B51" s="326" t="s">
        <v>131</v>
      </c>
      <c r="C51" s="166" t="s">
        <v>134</v>
      </c>
      <c r="D51" s="434" t="s">
        <v>743</v>
      </c>
      <c r="E51" s="261" t="s">
        <v>51</v>
      </c>
      <c r="F51" s="261" t="s">
        <v>52</v>
      </c>
      <c r="G51" s="165" t="s">
        <v>744</v>
      </c>
      <c r="H51" s="165" t="s">
        <v>745</v>
      </c>
      <c r="I51" s="261" t="s">
        <v>746</v>
      </c>
      <c r="J51" s="440"/>
      <c r="K51" s="746" t="s">
        <v>1252</v>
      </c>
      <c r="L51" s="434" t="s">
        <v>743</v>
      </c>
      <c r="M51" s="588" t="s">
        <v>51</v>
      </c>
      <c r="N51" s="588" t="s">
        <v>52</v>
      </c>
      <c r="O51" s="435" t="s">
        <v>744</v>
      </c>
      <c r="P51" s="435" t="s">
        <v>745</v>
      </c>
      <c r="Q51" s="588" t="s">
        <v>746</v>
      </c>
      <c r="R51" s="133"/>
      <c r="S51" s="133"/>
      <c r="T51" s="133"/>
      <c r="U51" s="133"/>
      <c r="V51" s="133"/>
      <c r="W51" s="133"/>
      <c r="X51" s="133"/>
      <c r="Y51" s="133"/>
      <c r="Z51" s="133"/>
      <c r="AJ51" s="292"/>
      <c r="AK51" s="292"/>
      <c r="AL51" s="292"/>
      <c r="AM51" s="292"/>
      <c r="AN51" s="292"/>
    </row>
    <row r="52" spans="1:40" x14ac:dyDescent="0.25">
      <c r="A52" s="307"/>
      <c r="B52" s="705" t="s">
        <v>1084</v>
      </c>
      <c r="C52" s="299">
        <f>'Unit costs'!O101</f>
        <v>138</v>
      </c>
      <c r="D52" s="128">
        <f>D67+D68+D69</f>
        <v>9765.0050209017336</v>
      </c>
      <c r="E52" s="128">
        <f t="shared" ref="E52:I52" si="27">E67+E68+E69</f>
        <v>9972.7474144165517</v>
      </c>
      <c r="F52" s="128">
        <f t="shared" si="27"/>
        <v>10068.902724872749</v>
      </c>
      <c r="G52" s="128">
        <f t="shared" si="27"/>
        <v>10165.985146319001</v>
      </c>
      <c r="H52" s="128">
        <f t="shared" si="27"/>
        <v>10264.003617780971</v>
      </c>
      <c r="I52" s="128">
        <f t="shared" si="27"/>
        <v>10362.967164472682</v>
      </c>
      <c r="J52" s="440"/>
      <c r="K52" s="747">
        <f>'Unit costs'!$O$101</f>
        <v>138</v>
      </c>
      <c r="L52" s="299">
        <f t="shared" ref="L52:Q52" si="28">(D52*$C$52)/1000</f>
        <v>1347.570692884439</v>
      </c>
      <c r="M52" s="299">
        <f t="shared" si="28"/>
        <v>1376.2391431894839</v>
      </c>
      <c r="N52" s="299">
        <f t="shared" si="28"/>
        <v>1389.5085760324394</v>
      </c>
      <c r="O52" s="299">
        <f t="shared" si="28"/>
        <v>1402.9059501920221</v>
      </c>
      <c r="P52" s="299">
        <f t="shared" si="28"/>
        <v>1416.432499253774</v>
      </c>
      <c r="Q52" s="299">
        <f t="shared" si="28"/>
        <v>1430.0894686972301</v>
      </c>
      <c r="R52" s="133"/>
      <c r="S52" s="133"/>
      <c r="T52" s="133"/>
      <c r="U52" s="133"/>
      <c r="V52" s="133"/>
      <c r="W52" s="133"/>
      <c r="X52" s="133"/>
      <c r="Y52" s="133"/>
      <c r="Z52" s="133"/>
      <c r="AJ52" s="292"/>
      <c r="AK52" s="292"/>
      <c r="AL52" s="292"/>
      <c r="AM52" s="292"/>
      <c r="AN52" s="292"/>
    </row>
    <row r="53" spans="1:40" x14ac:dyDescent="0.25">
      <c r="A53" s="307"/>
      <c r="B53" s="705" t="s">
        <v>1078</v>
      </c>
      <c r="C53" s="299">
        <f>'Unit costs'!O98</f>
        <v>345</v>
      </c>
      <c r="D53" s="128">
        <f t="shared" ref="D53:I53" si="29">D60+D62+D64</f>
        <v>10323.443389106686</v>
      </c>
      <c r="E53" s="128">
        <f t="shared" si="29"/>
        <v>10928.818107364988</v>
      </c>
      <c r="F53" s="128">
        <f t="shared" si="29"/>
        <v>11908.586183683779</v>
      </c>
      <c r="G53" s="128">
        <f t="shared" si="29"/>
        <v>12286.31858049125</v>
      </c>
      <c r="H53" s="128">
        <f t="shared" si="29"/>
        <v>12404.780898684836</v>
      </c>
      <c r="I53" s="128">
        <f t="shared" si="29"/>
        <v>12524.385407742178</v>
      </c>
      <c r="J53" s="440"/>
      <c r="K53" s="747">
        <f>'Unit costs'!$O$98</f>
        <v>345</v>
      </c>
      <c r="L53" s="299">
        <f t="shared" ref="L53:Q53" si="30">(D53*$C$53)/1000</f>
        <v>3561.5879692418061</v>
      </c>
      <c r="M53" s="299">
        <f t="shared" si="30"/>
        <v>3770.4422470409208</v>
      </c>
      <c r="N53" s="299">
        <f t="shared" si="30"/>
        <v>4108.462233370904</v>
      </c>
      <c r="O53" s="299">
        <f t="shared" si="30"/>
        <v>4238.7799102694808</v>
      </c>
      <c r="P53" s="299">
        <f t="shared" si="30"/>
        <v>4279.6494100462678</v>
      </c>
      <c r="Q53" s="299">
        <f t="shared" si="30"/>
        <v>4320.9129656710511</v>
      </c>
      <c r="R53" s="133"/>
      <c r="S53" s="133"/>
      <c r="T53" s="133"/>
      <c r="U53" s="133"/>
      <c r="V53" s="133"/>
      <c r="W53" s="133"/>
      <c r="X53" s="133"/>
      <c r="Y53" s="133"/>
      <c r="Z53" s="133"/>
      <c r="AJ53" s="292"/>
      <c r="AK53" s="292"/>
      <c r="AL53" s="292"/>
      <c r="AM53" s="292"/>
      <c r="AN53" s="292"/>
    </row>
    <row r="54" spans="1:40" x14ac:dyDescent="0.25">
      <c r="A54" s="307"/>
      <c r="B54" s="705" t="s">
        <v>1081</v>
      </c>
      <c r="C54" s="299">
        <f>'Unit costs'!O99</f>
        <v>345</v>
      </c>
      <c r="D54" s="128">
        <f>D61+D63+D65+D66</f>
        <v>30970.330167320059</v>
      </c>
      <c r="E54" s="128">
        <f t="shared" ref="E54:I54" si="31">E61+E63+E65+E66</f>
        <v>32786.454322094964</v>
      </c>
      <c r="F54" s="128">
        <f t="shared" si="31"/>
        <v>35725.758551051331</v>
      </c>
      <c r="G54" s="128">
        <f t="shared" si="31"/>
        <v>36858.95574147375</v>
      </c>
      <c r="H54" s="128">
        <f t="shared" si="31"/>
        <v>37214.342696054504</v>
      </c>
      <c r="I54" s="128">
        <f t="shared" si="31"/>
        <v>37573.156223226528</v>
      </c>
      <c r="J54" s="440"/>
      <c r="K54" s="747">
        <f>'Unit costs'!$O$99</f>
        <v>345</v>
      </c>
      <c r="L54" s="299">
        <f t="shared" ref="L54:Q54" si="32">(D54*$C$54)/1000</f>
        <v>10684.763907725421</v>
      </c>
      <c r="M54" s="299">
        <f t="shared" si="32"/>
        <v>11311.326741122763</v>
      </c>
      <c r="N54" s="299">
        <f t="shared" si="32"/>
        <v>12325.386700112709</v>
      </c>
      <c r="O54" s="299">
        <f t="shared" si="32"/>
        <v>12716.339730808444</v>
      </c>
      <c r="P54" s="299">
        <f t="shared" si="32"/>
        <v>12838.948230138805</v>
      </c>
      <c r="Q54" s="299">
        <f t="shared" si="32"/>
        <v>12962.738897013152</v>
      </c>
      <c r="R54" s="133"/>
      <c r="S54" s="133"/>
      <c r="T54" s="133"/>
      <c r="U54" s="133"/>
      <c r="V54" s="133"/>
      <c r="W54" s="133"/>
      <c r="X54" s="133"/>
      <c r="Y54" s="133"/>
      <c r="Z54" s="133"/>
      <c r="AJ54" s="292"/>
      <c r="AK54" s="292"/>
      <c r="AL54" s="292"/>
      <c r="AM54" s="292"/>
      <c r="AN54" s="292"/>
    </row>
    <row r="55" spans="1:40" x14ac:dyDescent="0.25">
      <c r="A55" s="307"/>
      <c r="B55" s="329"/>
      <c r="C55" s="329"/>
      <c r="D55" s="187">
        <f>SUM(D52:D54)</f>
        <v>51058.778577328478</v>
      </c>
      <c r="E55" s="187">
        <f t="shared" ref="E55:I55" si="33">SUM(E52:E54)</f>
        <v>53688.019843876507</v>
      </c>
      <c r="F55" s="187">
        <f t="shared" si="33"/>
        <v>57703.247459607861</v>
      </c>
      <c r="G55" s="187">
        <f t="shared" si="33"/>
        <v>59311.259468283999</v>
      </c>
      <c r="H55" s="187">
        <f t="shared" si="33"/>
        <v>59883.12721252031</v>
      </c>
      <c r="I55" s="187">
        <f t="shared" si="33"/>
        <v>60460.50879544139</v>
      </c>
      <c r="J55" s="440"/>
      <c r="K55" s="217"/>
      <c r="L55" s="300">
        <f>SUM(L52:L54)</f>
        <v>15593.922569851666</v>
      </c>
      <c r="M55" s="300">
        <f t="shared" ref="M55:Q55" si="34">SUM(M52:M54)</f>
        <v>16458.008131353166</v>
      </c>
      <c r="N55" s="300">
        <f t="shared" si="34"/>
        <v>17823.357509516052</v>
      </c>
      <c r="O55" s="300">
        <f t="shared" si="34"/>
        <v>18358.025591269947</v>
      </c>
      <c r="P55" s="300">
        <f t="shared" si="34"/>
        <v>18535.030139438848</v>
      </c>
      <c r="Q55" s="300">
        <f t="shared" si="34"/>
        <v>18713.741331381432</v>
      </c>
      <c r="R55" s="133"/>
      <c r="S55" s="133"/>
      <c r="T55" s="133"/>
      <c r="U55" s="133"/>
      <c r="V55" s="133"/>
      <c r="W55" s="133"/>
      <c r="X55" s="133"/>
      <c r="Y55" s="133"/>
      <c r="Z55" s="133"/>
      <c r="AJ55" s="292"/>
      <c r="AK55" s="292"/>
      <c r="AL55" s="292"/>
      <c r="AM55" s="292"/>
      <c r="AN55" s="292"/>
    </row>
    <row r="56" spans="1:40" x14ac:dyDescent="0.25">
      <c r="A56" s="307"/>
      <c r="B56" s="262"/>
      <c r="C56" s="262"/>
      <c r="D56" s="291" t="s">
        <v>753</v>
      </c>
      <c r="E56" s="187">
        <f>E55-D55</f>
        <v>2629.2412665480297</v>
      </c>
      <c r="F56" s="187">
        <f>F55-$D$55</f>
        <v>6644.4688822793833</v>
      </c>
      <c r="G56" s="187">
        <f>G55-$D$55</f>
        <v>8252.4808909555213</v>
      </c>
      <c r="H56" s="187">
        <f>H55-$D$55</f>
        <v>8824.3486351918327</v>
      </c>
      <c r="I56" s="187">
        <f>I55-$D$55</f>
        <v>9401.7302181129126</v>
      </c>
      <c r="J56" s="440"/>
      <c r="K56" s="217"/>
      <c r="L56" s="594"/>
      <c r="M56" s="300">
        <f>M55-$L$55</f>
        <v>864.08556150150071</v>
      </c>
      <c r="N56" s="300">
        <f>N55-$L$55</f>
        <v>2229.4349396643865</v>
      </c>
      <c r="O56" s="300">
        <f>O55-$L$55</f>
        <v>2764.1030214182811</v>
      </c>
      <c r="P56" s="300">
        <f>P55-$L$55</f>
        <v>2941.1075695871823</v>
      </c>
      <c r="Q56" s="300">
        <f>Q55-$L$55</f>
        <v>3119.8187615297666</v>
      </c>
      <c r="R56" s="133"/>
      <c r="S56" s="133"/>
      <c r="T56" s="133"/>
      <c r="U56" s="133"/>
      <c r="V56" s="133"/>
      <c r="W56" s="133"/>
      <c r="X56" s="133"/>
      <c r="Y56" s="133"/>
      <c r="Z56" s="133"/>
      <c r="AJ56" s="292"/>
      <c r="AK56" s="292"/>
      <c r="AL56" s="292"/>
      <c r="AM56" s="292"/>
      <c r="AN56" s="292"/>
    </row>
    <row r="57" spans="1:40" x14ac:dyDescent="0.25">
      <c r="A57" s="302"/>
      <c r="B57" s="328"/>
      <c r="C57" s="305"/>
      <c r="D57" s="304"/>
      <c r="E57" s="305"/>
      <c r="F57" s="306"/>
      <c r="G57" s="302"/>
      <c r="H57" s="302"/>
      <c r="I57" s="303"/>
      <c r="J57" s="217"/>
      <c r="K57" s="217"/>
      <c r="L57" s="217"/>
      <c r="M57" s="217"/>
      <c r="N57" s="217"/>
      <c r="O57" s="217"/>
      <c r="P57" s="217"/>
      <c r="Q57" s="217"/>
      <c r="R57" s="133"/>
      <c r="S57" s="133"/>
      <c r="T57" s="133"/>
      <c r="U57" s="133"/>
      <c r="V57" s="133"/>
      <c r="W57" s="133"/>
      <c r="X57" s="133"/>
      <c r="Y57" s="133"/>
      <c r="Z57" s="133"/>
      <c r="AJ57" s="292"/>
      <c r="AK57" s="292"/>
      <c r="AL57" s="292"/>
      <c r="AM57" s="292"/>
      <c r="AN57" s="292"/>
    </row>
    <row r="58" spans="1:40" x14ac:dyDescent="0.25">
      <c r="A58" s="307"/>
      <c r="B58" s="398" t="s">
        <v>754</v>
      </c>
      <c r="C58" s="399"/>
      <c r="D58" s="399"/>
      <c r="E58" s="399"/>
      <c r="F58" s="399"/>
      <c r="G58" s="399"/>
      <c r="H58" s="399"/>
      <c r="I58" s="399"/>
      <c r="J58" s="440"/>
      <c r="K58" s="217"/>
      <c r="L58" s="217"/>
      <c r="M58" s="217"/>
      <c r="N58" s="217"/>
      <c r="O58" s="217"/>
      <c r="P58" s="217"/>
      <c r="Q58" s="217"/>
      <c r="R58" s="133"/>
      <c r="S58" s="133"/>
      <c r="T58" s="133"/>
      <c r="U58" s="133"/>
      <c r="V58" s="133"/>
      <c r="W58" s="133"/>
      <c r="X58" s="133"/>
      <c r="Y58" s="133"/>
      <c r="Z58" s="133"/>
      <c r="AJ58" s="292"/>
      <c r="AK58" s="292"/>
      <c r="AL58" s="292"/>
      <c r="AM58" s="292"/>
      <c r="AN58" s="292"/>
    </row>
    <row r="59" spans="1:40" ht="45" x14ac:dyDescent="0.25">
      <c r="A59" s="307"/>
      <c r="B59" s="326" t="s">
        <v>131</v>
      </c>
      <c r="C59" s="166" t="s">
        <v>755</v>
      </c>
      <c r="D59" s="434" t="s">
        <v>743</v>
      </c>
      <c r="E59" s="261" t="s">
        <v>51</v>
      </c>
      <c r="F59" s="261" t="s">
        <v>52</v>
      </c>
      <c r="G59" s="165" t="s">
        <v>744</v>
      </c>
      <c r="H59" s="165" t="s">
        <v>745</v>
      </c>
      <c r="I59" s="261" t="s">
        <v>746</v>
      </c>
      <c r="J59" s="440"/>
      <c r="K59" s="217"/>
      <c r="L59" s="217"/>
      <c r="M59" s="217"/>
      <c r="N59" s="217"/>
      <c r="O59" s="217"/>
      <c r="P59" s="217"/>
      <c r="Q59" s="217"/>
      <c r="R59" s="133"/>
      <c r="V59" s="133"/>
      <c r="AJ59" s="292"/>
      <c r="AK59" s="292"/>
      <c r="AL59" s="292"/>
      <c r="AM59" s="292"/>
      <c r="AN59" s="292"/>
    </row>
    <row r="60" spans="1:40" x14ac:dyDescent="0.25">
      <c r="A60" s="307"/>
      <c r="B60" s="358" t="s">
        <v>1169</v>
      </c>
      <c r="C60" s="128">
        <f>'Unit costs'!O56</f>
        <v>10.428571428571429</v>
      </c>
      <c r="D60" s="128">
        <f>D$7*'Inputs and eligible population'!E79*$C$60</f>
        <v>0</v>
      </c>
      <c r="E60" s="128">
        <f>E$7*'Inputs and eligible population'!F79*$C$60</f>
        <v>3172.1817965711498</v>
      </c>
      <c r="F60" s="128">
        <f>F$7*'Inputs and eligible population'!G79*$C$60</f>
        <v>6605.7076855569294</v>
      </c>
      <c r="G60" s="128">
        <f>G$7*'Inputs and eligible population'!H79*$C$60</f>
        <v>6669.3986472240658</v>
      </c>
      <c r="H60" s="128">
        <f>H$7*'Inputs and eligible population'!I79*$C$60</f>
        <v>6733.703704880787</v>
      </c>
      <c r="I60" s="128">
        <f>I$7*'Inputs and eligible population'!J79*$C$60</f>
        <v>6798.6287795223925</v>
      </c>
      <c r="J60" s="440"/>
      <c r="K60" s="217"/>
      <c r="L60" s="217"/>
      <c r="M60" s="217"/>
      <c r="N60" s="217"/>
      <c r="O60" s="217"/>
      <c r="P60" s="217"/>
      <c r="Q60" s="217"/>
      <c r="R60" s="133"/>
      <c r="V60" s="133"/>
      <c r="AJ60" s="292"/>
      <c r="AK60" s="292"/>
      <c r="AL60" s="292"/>
      <c r="AM60" s="292"/>
      <c r="AN60" s="292"/>
    </row>
    <row r="61" spans="1:40" x14ac:dyDescent="0.25">
      <c r="A61" s="307"/>
      <c r="B61" s="357" t="s">
        <v>1170</v>
      </c>
      <c r="C61" s="128">
        <f>'Unit costs'!N57*'Unit costs'!O57-C60</f>
        <v>31.285714285714285</v>
      </c>
      <c r="D61" s="128">
        <f>D$7*'Inputs and eligible population'!E79*$C$61</f>
        <v>0</v>
      </c>
      <c r="E61" s="128">
        <f>E$7*'Inputs and eligible population'!F79*$C$61</f>
        <v>9516.5453897134485</v>
      </c>
      <c r="F61" s="128">
        <f>F$7*'Inputs and eligible population'!G79*$C$61</f>
        <v>19817.123056670785</v>
      </c>
      <c r="G61" s="128">
        <f>G$7*'Inputs and eligible population'!H79*$C$61</f>
        <v>20008.195941672198</v>
      </c>
      <c r="H61" s="128">
        <f>H$7*'Inputs and eligible population'!I79*$C$61</f>
        <v>20201.111114642361</v>
      </c>
      <c r="I61" s="128">
        <f>I$7*'Inputs and eligible population'!J79*$C$61</f>
        <v>20395.886338567176</v>
      </c>
      <c r="J61" s="440"/>
      <c r="K61" s="217"/>
      <c r="L61" s="217"/>
      <c r="M61" s="217"/>
      <c r="N61" s="217"/>
      <c r="O61" s="217"/>
      <c r="P61" s="217"/>
      <c r="Q61" s="217"/>
      <c r="R61" s="133"/>
      <c r="V61" s="133"/>
      <c r="AJ61" s="292"/>
      <c r="AK61" s="292"/>
      <c r="AL61" s="292"/>
      <c r="AM61" s="292"/>
      <c r="AN61" s="292"/>
    </row>
    <row r="62" spans="1:40" x14ac:dyDescent="0.25">
      <c r="A62" s="307"/>
      <c r="B62" s="357" t="s">
        <v>1171</v>
      </c>
      <c r="C62" s="128">
        <f>'Unit costs'!O61</f>
        <v>0.80571428571428527</v>
      </c>
      <c r="D62" s="128">
        <v>0</v>
      </c>
      <c r="E62" s="128">
        <v>0</v>
      </c>
      <c r="F62" s="128">
        <f>E$7*'Inputs and eligible population'!$F$79*$C$62</f>
        <v>245.08363469399006</v>
      </c>
      <c r="G62" s="128">
        <f>F$7*'Inputs and eligible population'!$G$79*$C$62</f>
        <v>510.35878556905561</v>
      </c>
      <c r="H62" s="128">
        <f>G$7*'Inputs and eligible population'!$H$79*$C$62</f>
        <v>515.27956671703714</v>
      </c>
      <c r="I62" s="128">
        <f>H$7*'Inputs and eligible population'!$I$79*$C$62</f>
        <v>520.24779308941936</v>
      </c>
      <c r="J62" s="440"/>
      <c r="K62" s="217"/>
      <c r="L62" s="217"/>
      <c r="M62" s="217"/>
      <c r="N62" s="217"/>
      <c r="O62" s="217"/>
      <c r="P62" s="217"/>
      <c r="Q62" s="217"/>
      <c r="R62" s="133"/>
      <c r="V62" s="133"/>
      <c r="AJ62" s="292"/>
      <c r="AK62" s="292"/>
      <c r="AL62" s="292"/>
      <c r="AM62" s="292"/>
      <c r="AN62" s="292"/>
    </row>
    <row r="63" spans="1:40" x14ac:dyDescent="0.25">
      <c r="A63" s="307"/>
      <c r="B63" s="357" t="s">
        <v>1172</v>
      </c>
      <c r="C63" s="128">
        <f>'Unit costs'!O62*'Unit costs'!N62-C62</f>
        <v>2.4171428571428559</v>
      </c>
      <c r="D63" s="128">
        <v>0</v>
      </c>
      <c r="E63" s="128">
        <v>0</v>
      </c>
      <c r="F63" s="128">
        <f>E$7*'Inputs and eligible population'!$F$79*$C$63</f>
        <v>735.25090408197025</v>
      </c>
      <c r="G63" s="128">
        <f>F$7*'Inputs and eligible population'!$G$79*$C$63</f>
        <v>1531.076356707167</v>
      </c>
      <c r="H63" s="128">
        <f>G$7*'Inputs and eligible population'!$H$79*$C$63</f>
        <v>1545.8387001511114</v>
      </c>
      <c r="I63" s="128">
        <f>H$7*'Inputs and eligible population'!$I$79*$C$63</f>
        <v>1560.7433792682582</v>
      </c>
      <c r="J63" s="440"/>
      <c r="K63" s="217"/>
      <c r="L63" s="217"/>
      <c r="M63" s="217"/>
      <c r="N63" s="217"/>
      <c r="O63" s="217"/>
      <c r="P63" s="217"/>
      <c r="Q63" s="217"/>
      <c r="R63" s="133"/>
      <c r="V63" s="133"/>
      <c r="AJ63" s="292"/>
      <c r="AK63" s="292"/>
      <c r="AL63" s="292"/>
      <c r="AM63" s="292"/>
      <c r="AN63" s="292"/>
    </row>
    <row r="64" spans="1:40" x14ac:dyDescent="0.25">
      <c r="A64" s="307"/>
      <c r="B64" s="706" t="s">
        <v>1234</v>
      </c>
      <c r="C64" s="128">
        <f>'Unit costs'!O81</f>
        <v>8.5</v>
      </c>
      <c r="D64" s="128">
        <f>D$7*'Inputs and eligible population'!E80*$C$64</f>
        <v>10323.443389106686</v>
      </c>
      <c r="E64" s="128">
        <f>E$7*'Inputs and eligible population'!F80*$C$64</f>
        <v>7756.6363107938387</v>
      </c>
      <c r="F64" s="128">
        <f>F$7*'Inputs and eligible population'!G80*$C$64</f>
        <v>5057.7948634328586</v>
      </c>
      <c r="G64" s="128">
        <f>G$7*'Inputs and eligible population'!H80*$C$64</f>
        <v>5106.5611476981276</v>
      </c>
      <c r="H64" s="128">
        <f>H$7*'Inputs and eligible population'!I80*$C$64</f>
        <v>5155.7976270870113</v>
      </c>
      <c r="I64" s="128">
        <f>I$7*'Inputs and eligible population'!J80*$C$64</f>
        <v>5205.5088351303657</v>
      </c>
      <c r="J64" s="217"/>
      <c r="K64" s="217"/>
      <c r="L64" s="217"/>
      <c r="M64" s="217"/>
      <c r="N64" s="217"/>
      <c r="O64" s="217"/>
      <c r="P64" s="217"/>
      <c r="Q64" s="217"/>
      <c r="R64" s="133"/>
      <c r="V64" s="133"/>
      <c r="AJ64" s="292"/>
      <c r="AK64" s="292"/>
      <c r="AL64" s="292"/>
      <c r="AM64" s="292"/>
      <c r="AN64" s="292"/>
    </row>
    <row r="65" spans="1:40" x14ac:dyDescent="0.25">
      <c r="A65" s="307"/>
      <c r="B65" s="706" t="s">
        <v>1235</v>
      </c>
      <c r="C65" s="128">
        <f>'Unit costs'!O81*'Unit costs'!N81-'Capacity (local prices) 3rd'!C66</f>
        <v>25.5</v>
      </c>
      <c r="D65" s="128">
        <f>D$7*'Inputs and eligible population'!E80*$C$65</f>
        <v>30970.330167320059</v>
      </c>
      <c r="E65" s="128">
        <f>E$7*'Inputs and eligible population'!F80*$C$65</f>
        <v>23269.908932381517</v>
      </c>
      <c r="F65" s="128">
        <f>F$7*'Inputs and eligible population'!G80*$C$65</f>
        <v>15173.384590298574</v>
      </c>
      <c r="G65" s="128">
        <f>G$7*'Inputs and eligible population'!H80*$C$65</f>
        <v>15319.683443094382</v>
      </c>
      <c r="H65" s="128">
        <f>H$7*'Inputs and eligible population'!I80*$C$65</f>
        <v>15467.392881261034</v>
      </c>
      <c r="I65" s="128">
        <f>I$7*'Inputs and eligible population'!J80*$C$65</f>
        <v>15616.526505391097</v>
      </c>
      <c r="J65" s="217"/>
      <c r="K65" s="217"/>
      <c r="L65" s="217"/>
      <c r="M65" s="217"/>
      <c r="N65" s="217"/>
      <c r="O65" s="217"/>
      <c r="P65" s="217"/>
      <c r="Q65" s="217"/>
      <c r="R65" s="133"/>
      <c r="V65" s="133"/>
      <c r="AJ65" s="292"/>
      <c r="AK65" s="292"/>
      <c r="AL65" s="292"/>
      <c r="AM65" s="292"/>
      <c r="AN65" s="292"/>
    </row>
    <row r="66" spans="1:40" x14ac:dyDescent="0.25">
      <c r="A66" s="307"/>
      <c r="B66" s="706" t="s">
        <v>1291</v>
      </c>
      <c r="C66" s="128">
        <f>'Unit costs'!O86*'Unit costs'!N86</f>
        <v>0</v>
      </c>
      <c r="D66" s="128">
        <f>D$7*'Inputs and eligible population'!E80*$C$66</f>
        <v>0</v>
      </c>
      <c r="E66" s="128">
        <f>E$7*'Inputs and eligible population'!F80*$C$66</f>
        <v>0</v>
      </c>
      <c r="F66" s="128">
        <f>F$7*'Inputs and eligible population'!G80*$C$66</f>
        <v>0</v>
      </c>
      <c r="G66" s="128">
        <f>G$7*'Inputs and eligible population'!H80*$C$66</f>
        <v>0</v>
      </c>
      <c r="H66" s="128">
        <f>H$7*'Inputs and eligible population'!I80*$C$66</f>
        <v>0</v>
      </c>
      <c r="I66" s="128">
        <f>I$7*'Inputs and eligible population'!J80*$C$66</f>
        <v>0</v>
      </c>
      <c r="J66" s="217"/>
      <c r="K66" s="217"/>
      <c r="L66" s="217"/>
      <c r="M66" s="217"/>
      <c r="N66" s="217"/>
      <c r="O66" s="217"/>
      <c r="P66" s="217"/>
      <c r="Q66" s="217"/>
      <c r="R66" s="133"/>
      <c r="V66" s="133"/>
      <c r="AJ66" s="292"/>
      <c r="AK66" s="292"/>
      <c r="AL66" s="292"/>
      <c r="AM66" s="292"/>
      <c r="AN66" s="292"/>
    </row>
    <row r="67" spans="1:40" x14ac:dyDescent="0.25">
      <c r="A67" s="307"/>
      <c r="B67" s="357" t="s">
        <v>1173</v>
      </c>
      <c r="C67" s="128">
        <f>'Unit costs'!O66</f>
        <v>13.035714285714286</v>
      </c>
      <c r="D67" s="128">
        <f>D$7*'Inputs and eligible population'!E81*$C$67</f>
        <v>1595.4901596414313</v>
      </c>
      <c r="E67" s="128">
        <f>E$7*'Inputs and eligible population'!F81*$C$67</f>
        <v>1734.7869199998479</v>
      </c>
      <c r="F67" s="128">
        <f>F$7*'Inputs and eligible population'!G81*$C$67</f>
        <v>1751.5134014734288</v>
      </c>
      <c r="G67" s="128">
        <f>G$7*'Inputs and eligible population'!H81*$C$67</f>
        <v>1768.4011564609268</v>
      </c>
      <c r="H67" s="128">
        <f>H$7*'Inputs and eligible population'!I81*$C$67</f>
        <v>1785.4517399305118</v>
      </c>
      <c r="I67" s="128">
        <f>I$7*'Inputs and eligible population'!J81*$C$67</f>
        <v>1802.6667218430584</v>
      </c>
      <c r="J67" s="440"/>
      <c r="K67" s="217"/>
      <c r="L67" s="217"/>
      <c r="M67" s="217"/>
      <c r="N67" s="217"/>
      <c r="O67" s="217"/>
      <c r="P67" s="217"/>
      <c r="Q67" s="217"/>
      <c r="R67" s="133"/>
      <c r="V67" s="133"/>
      <c r="AJ67" s="292"/>
      <c r="AK67" s="292"/>
      <c r="AL67" s="292"/>
      <c r="AM67" s="292"/>
      <c r="AN67" s="292"/>
    </row>
    <row r="68" spans="1:40" x14ac:dyDescent="0.25">
      <c r="A68" s="307"/>
      <c r="B68" s="357" t="s">
        <v>1232</v>
      </c>
      <c r="C68" s="128">
        <f>'Unit costs'!O70</f>
        <v>13</v>
      </c>
      <c r="D68" s="128">
        <f>D$7*'Inputs and eligible population'!E82*$C$68</f>
        <v>7098.8384089251613</v>
      </c>
      <c r="E68" s="128">
        <f>E$7*'Inputs and eligible population'!F82*$C$68</f>
        <v>7167.2840420815619</v>
      </c>
      <c r="F68" s="128">
        <f>F$7*'Inputs and eligible population'!G82*$C$68</f>
        <v>7236.3896148546009</v>
      </c>
      <c r="G68" s="128">
        <f>G$7*'Inputs and eligible population'!H82*$C$68</f>
        <v>7306.1614902550045</v>
      </c>
      <c r="H68" s="128">
        <f>H$7*'Inputs and eligible population'!I82*$C$68</f>
        <v>7376.6060926444143</v>
      </c>
      <c r="I68" s="128">
        <f>I$7*'Inputs and eligible population'!J82*$C$68</f>
        <v>7447.7299083269363</v>
      </c>
      <c r="J68" s="217"/>
      <c r="K68" s="217"/>
      <c r="L68" s="217"/>
      <c r="M68" s="217"/>
      <c r="N68" s="217"/>
      <c r="O68" s="217"/>
      <c r="P68" s="217"/>
      <c r="Q68" s="217"/>
      <c r="R68" s="133"/>
      <c r="V68" s="133"/>
      <c r="AJ68" s="292"/>
      <c r="AK68" s="292"/>
      <c r="AL68" s="292"/>
      <c r="AM68" s="292"/>
      <c r="AN68" s="292"/>
    </row>
    <row r="69" spans="1:40" x14ac:dyDescent="0.25">
      <c r="A69" s="307"/>
      <c r="B69" s="357" t="s">
        <v>1233</v>
      </c>
      <c r="C69" s="128">
        <f>'Unit costs'!O75</f>
        <v>1.9607142857142859</v>
      </c>
      <c r="D69" s="128">
        <f>D$7*'Inputs and eligible population'!E82*$C$69</f>
        <v>1070.6764523351412</v>
      </c>
      <c r="E69" s="128">
        <f>D$7*'Inputs and eligible population'!E82*$C$69</f>
        <v>1070.6764523351412</v>
      </c>
      <c r="F69" s="128">
        <f>E$7*'Inputs and eligible population'!F82*$C$69</f>
        <v>1080.9997085447192</v>
      </c>
      <c r="G69" s="128">
        <f>F$7*'Inputs and eligible population'!G82*$C$69</f>
        <v>1091.4224996030705</v>
      </c>
      <c r="H69" s="128">
        <f>G$7*'Inputs and eligible population'!H82*$C$69</f>
        <v>1101.9457852060434</v>
      </c>
      <c r="I69" s="128">
        <f>H$7*'Inputs and eligible population'!I82*$C$69</f>
        <v>1112.5705343026877</v>
      </c>
      <c r="J69" s="217"/>
      <c r="K69" s="217"/>
      <c r="L69" s="217"/>
      <c r="M69" s="217"/>
      <c r="N69" s="217"/>
      <c r="O69" s="217"/>
      <c r="P69" s="217"/>
      <c r="Q69" s="217"/>
      <c r="R69" s="133"/>
      <c r="V69" s="133"/>
      <c r="AJ69" s="292"/>
      <c r="AK69" s="292"/>
      <c r="AL69" s="292"/>
      <c r="AM69" s="292"/>
      <c r="AN69" s="292"/>
    </row>
    <row r="70" spans="1:40" x14ac:dyDescent="0.25">
      <c r="A70" s="307"/>
      <c r="B70" s="329"/>
      <c r="C70" s="329"/>
      <c r="D70" s="187">
        <f t="shared" ref="D70:I70" si="35">SUM(D60:D69)</f>
        <v>51058.778577328485</v>
      </c>
      <c r="E70" s="187">
        <f t="shared" si="35"/>
        <v>53688.019843876507</v>
      </c>
      <c r="F70" s="187">
        <f t="shared" si="35"/>
        <v>57703.247459607846</v>
      </c>
      <c r="G70" s="187">
        <f t="shared" si="35"/>
        <v>59311.259468283999</v>
      </c>
      <c r="H70" s="187">
        <f t="shared" si="35"/>
        <v>59883.127212520303</v>
      </c>
      <c r="I70" s="187">
        <f t="shared" si="35"/>
        <v>60460.508795441398</v>
      </c>
      <c r="J70" s="302"/>
      <c r="K70" s="302"/>
      <c r="L70" s="302"/>
      <c r="M70" s="302"/>
      <c r="N70" s="302"/>
      <c r="O70" s="302"/>
      <c r="P70" s="302"/>
      <c r="Q70" s="302"/>
      <c r="R70" s="133"/>
      <c r="V70" s="133"/>
      <c r="AJ70" s="292"/>
      <c r="AK70" s="292"/>
      <c r="AL70" s="292"/>
      <c r="AM70" s="292"/>
      <c r="AN70" s="292"/>
    </row>
    <row r="71" spans="1:40" x14ac:dyDescent="0.25">
      <c r="A71" s="307"/>
      <c r="B71" s="262"/>
      <c r="C71" s="262"/>
      <c r="D71" s="291" t="s">
        <v>756</v>
      </c>
      <c r="E71" s="187">
        <f>E70-$D$70</f>
        <v>2629.2412665480224</v>
      </c>
      <c r="F71" s="187">
        <f>F70-$D$70</f>
        <v>6644.4688822793614</v>
      </c>
      <c r="G71" s="187">
        <f>G70-$D$70</f>
        <v>8252.480890955514</v>
      </c>
      <c r="H71" s="187">
        <f>H70-$D$70</f>
        <v>8824.3486351918182</v>
      </c>
      <c r="I71" s="187">
        <f>I70-$D$70</f>
        <v>9401.7302181129126</v>
      </c>
      <c r="J71" s="302"/>
      <c r="K71" s="302"/>
      <c r="L71" s="302"/>
      <c r="M71" s="302"/>
      <c r="N71" s="302"/>
      <c r="O71" s="302"/>
      <c r="P71" s="302"/>
      <c r="Q71" s="302"/>
      <c r="R71" s="133"/>
      <c r="S71" s="133"/>
      <c r="T71" s="133"/>
      <c r="U71" s="133"/>
      <c r="V71" s="133"/>
      <c r="W71" s="133"/>
      <c r="X71" s="133"/>
      <c r="Y71" s="133"/>
      <c r="Z71" s="133"/>
      <c r="AJ71" s="292"/>
      <c r="AK71" s="292"/>
      <c r="AL71" s="292"/>
      <c r="AM71" s="292"/>
      <c r="AN71" s="292"/>
    </row>
    <row r="72" spans="1:40" x14ac:dyDescent="0.25">
      <c r="A72" s="302"/>
      <c r="B72" s="328"/>
      <c r="C72" s="305"/>
      <c r="D72" s="305"/>
      <c r="E72" s="306"/>
      <c r="F72" s="302"/>
      <c r="G72" s="302"/>
      <c r="H72" s="217"/>
      <c r="I72" s="217"/>
      <c r="J72" s="217"/>
      <c r="K72" s="217"/>
      <c r="L72" s="217"/>
      <c r="M72" s="217"/>
      <c r="N72" s="217"/>
      <c r="O72" s="217"/>
      <c r="P72" s="217"/>
      <c r="Q72" s="217"/>
      <c r="R72" s="133"/>
      <c r="S72" s="133"/>
      <c r="T72" s="133"/>
      <c r="U72" s="133"/>
      <c r="V72" s="133"/>
      <c r="W72" s="133"/>
      <c r="X72" s="133"/>
      <c r="Y72" s="133"/>
      <c r="Z72" s="133"/>
      <c r="AJ72" s="292"/>
      <c r="AK72" s="292"/>
      <c r="AL72" s="292"/>
      <c r="AM72" s="292"/>
      <c r="AN72" s="292"/>
    </row>
    <row r="73" spans="1:40" x14ac:dyDescent="0.25">
      <c r="A73" s="293"/>
      <c r="B73" s="330" t="s">
        <v>757</v>
      </c>
      <c r="C73" s="308"/>
      <c r="D73" s="308"/>
      <c r="E73" s="309"/>
      <c r="F73" s="310"/>
      <c r="G73" s="311"/>
      <c r="H73" s="311"/>
      <c r="I73" s="311"/>
      <c r="J73" s="445"/>
      <c r="K73" s="293"/>
      <c r="L73" s="293"/>
      <c r="M73" s="293"/>
      <c r="N73" s="293"/>
      <c r="O73" s="293"/>
      <c r="P73" s="293"/>
      <c r="Q73" s="219"/>
      <c r="R73" s="133"/>
      <c r="V73" s="133"/>
    </row>
    <row r="74" spans="1:40" x14ac:dyDescent="0.25">
      <c r="A74" s="293"/>
      <c r="B74" s="400" t="s">
        <v>758</v>
      </c>
      <c r="C74" s="401"/>
      <c r="D74" s="401"/>
      <c r="E74" s="401"/>
      <c r="F74" s="401"/>
      <c r="G74" s="401"/>
      <c r="H74" s="401"/>
      <c r="I74" s="218"/>
      <c r="J74" s="442"/>
      <c r="K74" s="219"/>
      <c r="L74" s="293"/>
      <c r="M74" s="293"/>
      <c r="N74" s="293"/>
      <c r="O74" s="293"/>
      <c r="P74" s="293"/>
      <c r="Q74" s="219"/>
      <c r="R74" s="133"/>
      <c r="V74" s="133"/>
    </row>
    <row r="75" spans="1:40" ht="60" x14ac:dyDescent="0.25">
      <c r="A75" s="293"/>
      <c r="B75" s="288" t="s">
        <v>131</v>
      </c>
      <c r="C75" s="166" t="s">
        <v>759</v>
      </c>
      <c r="D75" s="434" t="s">
        <v>743</v>
      </c>
      <c r="E75" s="261" t="s">
        <v>51</v>
      </c>
      <c r="F75" s="261" t="s">
        <v>52</v>
      </c>
      <c r="G75" s="165" t="s">
        <v>744</v>
      </c>
      <c r="H75" s="165" t="s">
        <v>745</v>
      </c>
      <c r="I75" s="261" t="s">
        <v>746</v>
      </c>
      <c r="J75" s="293"/>
      <c r="K75" s="293"/>
      <c r="L75" s="293"/>
      <c r="M75" s="293"/>
      <c r="N75" s="293"/>
      <c r="O75" s="293"/>
      <c r="P75" s="293"/>
      <c r="Q75" s="219"/>
      <c r="R75" s="133"/>
      <c r="V75" s="133"/>
    </row>
    <row r="76" spans="1:40" x14ac:dyDescent="0.25">
      <c r="A76" s="293"/>
      <c r="B76" s="358" t="s">
        <v>1247</v>
      </c>
      <c r="C76" s="149">
        <f>'Inputs and eligible population'!K102</f>
        <v>10</v>
      </c>
      <c r="D76" s="128">
        <f t="shared" ref="D76:I76" si="36">((D60+D61+D62+D63)*$C$76)/60</f>
        <v>0</v>
      </c>
      <c r="E76" s="128">
        <f t="shared" si="36"/>
        <v>2114.7878643807662</v>
      </c>
      <c r="F76" s="128">
        <f t="shared" si="36"/>
        <v>4567.1942135006129</v>
      </c>
      <c r="G76" s="128">
        <f t="shared" si="36"/>
        <v>4786.5049551954144</v>
      </c>
      <c r="H76" s="128">
        <f t="shared" si="36"/>
        <v>4832.6555143985488</v>
      </c>
      <c r="I76" s="128">
        <f t="shared" si="36"/>
        <v>4879.2510484078748</v>
      </c>
      <c r="J76" s="293"/>
      <c r="K76" s="293"/>
      <c r="L76" s="293"/>
      <c r="M76" s="293"/>
      <c r="N76" s="293"/>
      <c r="O76" s="293"/>
      <c r="P76" s="293"/>
      <c r="Q76" s="219"/>
      <c r="R76" s="133"/>
      <c r="S76" s="133"/>
      <c r="T76" s="133"/>
      <c r="U76" s="133"/>
      <c r="V76" s="133"/>
      <c r="W76" s="133"/>
      <c r="X76" s="133"/>
      <c r="Y76" s="133"/>
      <c r="Z76" s="133"/>
      <c r="AJ76" s="292"/>
      <c r="AK76" s="292"/>
      <c r="AL76" s="292"/>
      <c r="AM76" s="292"/>
      <c r="AN76" s="292"/>
    </row>
    <row r="77" spans="1:40" x14ac:dyDescent="0.25">
      <c r="A77" s="293"/>
      <c r="B77" s="358" t="s">
        <v>1125</v>
      </c>
      <c r="C77" s="149">
        <f>'Inputs and eligible population'!L102</f>
        <v>10</v>
      </c>
      <c r="D77" s="128">
        <f>((D64+D65+D66)*$C$77)/60</f>
        <v>6882.2955927377907</v>
      </c>
      <c r="E77" s="128">
        <f t="shared" ref="E77:I77" si="37">((E64+E65+E66)*$C$77)/60</f>
        <v>5171.0908738625594</v>
      </c>
      <c r="F77" s="128">
        <f t="shared" si="37"/>
        <v>3371.8632422885721</v>
      </c>
      <c r="G77" s="128">
        <f t="shared" si="37"/>
        <v>3404.3740984654187</v>
      </c>
      <c r="H77" s="128">
        <f t="shared" si="37"/>
        <v>3437.198418058008</v>
      </c>
      <c r="I77" s="128">
        <f t="shared" si="37"/>
        <v>3470.3392234202433</v>
      </c>
      <c r="J77" s="293"/>
      <c r="K77" s="293"/>
      <c r="L77" s="293"/>
      <c r="M77" s="293"/>
      <c r="N77" s="293"/>
      <c r="O77" s="293"/>
      <c r="P77" s="293"/>
      <c r="Q77" s="219"/>
      <c r="R77" s="133"/>
      <c r="S77" s="133"/>
      <c r="T77" s="133"/>
      <c r="U77" s="133"/>
      <c r="V77" s="133"/>
      <c r="W77" s="133"/>
      <c r="X77" s="133"/>
      <c r="Y77" s="133"/>
      <c r="Z77" s="133"/>
      <c r="AJ77" s="292"/>
      <c r="AK77" s="292"/>
      <c r="AL77" s="292"/>
      <c r="AM77" s="292"/>
      <c r="AN77" s="292"/>
    </row>
    <row r="78" spans="1:40" x14ac:dyDescent="0.25">
      <c r="A78" s="293"/>
      <c r="B78" s="358" t="s">
        <v>1248</v>
      </c>
      <c r="C78" s="149">
        <f>'Inputs and eligible population'!M102</f>
        <v>0</v>
      </c>
      <c r="D78" s="128">
        <f t="shared" ref="D78:I78" si="38">(D67*$C$78)/60</f>
        <v>0</v>
      </c>
      <c r="E78" s="128">
        <f t="shared" si="38"/>
        <v>0</v>
      </c>
      <c r="F78" s="128">
        <f t="shared" si="38"/>
        <v>0</v>
      </c>
      <c r="G78" s="128">
        <f t="shared" si="38"/>
        <v>0</v>
      </c>
      <c r="H78" s="128">
        <f t="shared" si="38"/>
        <v>0</v>
      </c>
      <c r="I78" s="128">
        <f t="shared" si="38"/>
        <v>0</v>
      </c>
      <c r="J78" s="293"/>
      <c r="K78" s="293"/>
      <c r="L78" s="293"/>
      <c r="M78" s="293"/>
      <c r="N78" s="293"/>
      <c r="O78" s="293"/>
      <c r="P78" s="293"/>
      <c r="Q78" s="219"/>
      <c r="R78" s="133"/>
      <c r="S78" s="133"/>
      <c r="T78" s="133"/>
      <c r="U78" s="133"/>
      <c r="V78" s="133"/>
      <c r="W78" s="133"/>
      <c r="X78" s="133"/>
      <c r="Y78" s="133"/>
      <c r="Z78" s="133"/>
      <c r="AJ78" s="292"/>
      <c r="AK78" s="292"/>
      <c r="AL78" s="292"/>
      <c r="AM78" s="292"/>
      <c r="AN78" s="292"/>
    </row>
    <row r="79" spans="1:40" x14ac:dyDescent="0.25">
      <c r="A79" s="293"/>
      <c r="B79" s="358" t="s">
        <v>1251</v>
      </c>
      <c r="C79" s="149">
        <f>'Inputs and eligible population'!N102</f>
        <v>0</v>
      </c>
      <c r="D79" s="128">
        <f t="shared" ref="D79:I79" si="39">((D68+D69)*$C$79)/60</f>
        <v>0</v>
      </c>
      <c r="E79" s="128">
        <f t="shared" si="39"/>
        <v>0</v>
      </c>
      <c r="F79" s="128">
        <f t="shared" si="39"/>
        <v>0</v>
      </c>
      <c r="G79" s="128">
        <f t="shared" si="39"/>
        <v>0</v>
      </c>
      <c r="H79" s="128">
        <f t="shared" si="39"/>
        <v>0</v>
      </c>
      <c r="I79" s="128">
        <f t="shared" si="39"/>
        <v>0</v>
      </c>
      <c r="J79" s="293"/>
      <c r="K79" s="293"/>
      <c r="L79" s="293"/>
      <c r="M79" s="293"/>
      <c r="N79" s="293"/>
      <c r="O79" s="293"/>
      <c r="P79" s="293"/>
      <c r="Q79" s="219"/>
      <c r="R79" s="133"/>
      <c r="S79" s="133"/>
      <c r="T79" s="133"/>
      <c r="U79" s="133"/>
      <c r="V79" s="133"/>
      <c r="W79" s="133"/>
      <c r="X79" s="133"/>
      <c r="Y79" s="133"/>
      <c r="Z79" s="133"/>
      <c r="AJ79" s="292"/>
      <c r="AK79" s="292"/>
      <c r="AL79" s="292"/>
      <c r="AM79" s="292"/>
      <c r="AN79" s="292"/>
    </row>
    <row r="80" spans="1:40" x14ac:dyDescent="0.25">
      <c r="A80" s="293"/>
      <c r="B80" s="289" t="s">
        <v>760</v>
      </c>
      <c r="C80" s="329"/>
      <c r="D80" s="187">
        <f t="shared" ref="D80:I80" si="40">SUM(D76:D79)</f>
        <v>6882.2955927377907</v>
      </c>
      <c r="E80" s="187">
        <f t="shared" si="40"/>
        <v>7285.8787382433256</v>
      </c>
      <c r="F80" s="187">
        <f t="shared" si="40"/>
        <v>7939.057455789185</v>
      </c>
      <c r="G80" s="187">
        <f t="shared" si="40"/>
        <v>8190.8790536608331</v>
      </c>
      <c r="H80" s="187">
        <f t="shared" si="40"/>
        <v>8269.8539324565572</v>
      </c>
      <c r="I80" s="187">
        <f t="shared" si="40"/>
        <v>8349.5902718281177</v>
      </c>
      <c r="J80" s="293"/>
      <c r="K80" s="293"/>
      <c r="L80" s="293"/>
      <c r="M80" s="293"/>
      <c r="N80" s="293"/>
      <c r="O80" s="293"/>
      <c r="P80" s="293"/>
      <c r="Q80" s="219"/>
      <c r="R80" s="133"/>
      <c r="S80" s="133"/>
      <c r="T80" s="133"/>
      <c r="U80" s="133"/>
      <c r="V80" s="133"/>
      <c r="W80" s="133"/>
      <c r="X80" s="133"/>
      <c r="Y80" s="133"/>
      <c r="Z80" s="133"/>
      <c r="AJ80" s="292"/>
      <c r="AK80" s="292"/>
      <c r="AL80" s="292"/>
      <c r="AM80" s="292"/>
      <c r="AN80" s="292"/>
    </row>
    <row r="81" spans="1:40" x14ac:dyDescent="0.25">
      <c r="A81" s="293"/>
      <c r="B81" s="312"/>
      <c r="C81" s="262"/>
      <c r="D81" s="291" t="s">
        <v>761</v>
      </c>
      <c r="E81" s="187">
        <f>E80-$D$80</f>
        <v>403.58314550553496</v>
      </c>
      <c r="F81" s="187">
        <f>F80-$D$80</f>
        <v>1056.7618630513944</v>
      </c>
      <c r="G81" s="187">
        <f>G80-$D$80</f>
        <v>1308.5834609230424</v>
      </c>
      <c r="H81" s="187">
        <f>H80-$D$80</f>
        <v>1387.5583397187665</v>
      </c>
      <c r="I81" s="187">
        <f>I80-$D$80</f>
        <v>1467.294679090327</v>
      </c>
      <c r="J81" s="293"/>
      <c r="K81" s="293"/>
      <c r="L81" s="293"/>
      <c r="M81" s="293"/>
      <c r="N81" s="293"/>
      <c r="O81" s="293"/>
      <c r="P81" s="293"/>
      <c r="Q81" s="219"/>
      <c r="R81" s="133"/>
      <c r="S81" s="133"/>
      <c r="T81" s="133"/>
      <c r="U81" s="133"/>
      <c r="V81" s="133"/>
      <c r="W81" s="133"/>
      <c r="X81" s="133"/>
      <c r="Y81" s="133"/>
      <c r="Z81" s="133"/>
      <c r="AJ81" s="292"/>
      <c r="AK81" s="292"/>
      <c r="AL81" s="292"/>
      <c r="AM81" s="292"/>
      <c r="AN81" s="292"/>
    </row>
    <row r="82" spans="1:40" x14ac:dyDescent="0.25">
      <c r="A82" s="293"/>
      <c r="B82" s="331"/>
      <c r="C82" s="219"/>
      <c r="D82" s="219"/>
      <c r="E82" s="219"/>
      <c r="F82" s="219"/>
      <c r="G82" s="219"/>
      <c r="H82" s="219"/>
      <c r="I82" s="219"/>
      <c r="J82" s="219"/>
      <c r="K82" s="219"/>
      <c r="L82" s="293"/>
      <c r="M82" s="293"/>
      <c r="N82" s="293"/>
      <c r="O82" s="293"/>
      <c r="P82" s="293"/>
      <c r="Q82" s="219"/>
      <c r="R82" s="133"/>
      <c r="S82" s="133"/>
      <c r="T82" s="133"/>
      <c r="U82" s="133"/>
      <c r="V82" s="133"/>
      <c r="W82" s="133"/>
      <c r="X82" s="133"/>
      <c r="Y82" s="133"/>
      <c r="Z82" s="133"/>
      <c r="AJ82" s="292"/>
      <c r="AK82" s="292"/>
      <c r="AL82" s="292"/>
      <c r="AM82" s="292"/>
      <c r="AN82" s="292"/>
    </row>
    <row r="83" spans="1:40" x14ac:dyDescent="0.25">
      <c r="A83" s="293"/>
      <c r="B83" s="402" t="s">
        <v>762</v>
      </c>
      <c r="C83" s="401"/>
      <c r="D83" s="401"/>
      <c r="E83" s="401"/>
      <c r="F83" s="401"/>
      <c r="G83" s="401"/>
      <c r="H83" s="401"/>
      <c r="I83" s="218"/>
      <c r="J83" s="442"/>
      <c r="K83" s="219"/>
      <c r="L83" s="293"/>
      <c r="M83" s="293"/>
      <c r="N83" s="293"/>
      <c r="O83" s="293"/>
      <c r="P83" s="293"/>
      <c r="Q83" s="219"/>
      <c r="R83" s="133"/>
      <c r="S83" s="133"/>
      <c r="T83" s="133"/>
      <c r="U83" s="133"/>
      <c r="V83" s="133"/>
      <c r="W83" s="133"/>
      <c r="X83" s="133"/>
      <c r="Y83" s="133"/>
      <c r="Z83" s="133"/>
      <c r="AJ83" s="292"/>
      <c r="AK83" s="292"/>
      <c r="AL83" s="292"/>
      <c r="AM83" s="292"/>
      <c r="AN83" s="292"/>
    </row>
    <row r="84" spans="1:40" ht="75" x14ac:dyDescent="0.25">
      <c r="A84" s="293"/>
      <c r="B84" s="288" t="s">
        <v>131</v>
      </c>
      <c r="C84" s="166" t="s">
        <v>89</v>
      </c>
      <c r="D84" s="434" t="s">
        <v>743</v>
      </c>
      <c r="E84" s="261" t="s">
        <v>51</v>
      </c>
      <c r="F84" s="261" t="s">
        <v>52</v>
      </c>
      <c r="G84" s="165" t="s">
        <v>744</v>
      </c>
      <c r="H84" s="165" t="s">
        <v>745</v>
      </c>
      <c r="I84" s="261" t="s">
        <v>746</v>
      </c>
      <c r="J84" s="293"/>
      <c r="K84" s="293"/>
      <c r="L84" s="293"/>
      <c r="M84" s="293"/>
      <c r="N84" s="293"/>
      <c r="O84" s="293"/>
      <c r="P84" s="293"/>
      <c r="Q84" s="219"/>
      <c r="R84" s="133"/>
      <c r="S84" s="133"/>
      <c r="T84" s="133"/>
      <c r="U84" s="133"/>
      <c r="V84" s="133"/>
      <c r="W84" s="133"/>
      <c r="X84" s="133"/>
      <c r="Y84" s="133"/>
      <c r="Z84" s="133"/>
      <c r="AJ84" s="292"/>
      <c r="AK84" s="292"/>
      <c r="AL84" s="292"/>
      <c r="AM84" s="292"/>
      <c r="AN84" s="292"/>
    </row>
    <row r="85" spans="1:40" x14ac:dyDescent="0.25">
      <c r="A85" s="293"/>
      <c r="B85" s="358" t="s">
        <v>1247</v>
      </c>
      <c r="C85" s="149">
        <f>'Inputs and eligible population'!K103</f>
        <v>15</v>
      </c>
      <c r="D85" s="128">
        <f t="shared" ref="D85:I85" si="41">((D60+D61+D62+D63)*$C$85)/60</f>
        <v>0</v>
      </c>
      <c r="E85" s="128">
        <f t="shared" si="41"/>
        <v>3172.1817965711498</v>
      </c>
      <c r="F85" s="128">
        <f t="shared" si="41"/>
        <v>6850.7913202509189</v>
      </c>
      <c r="G85" s="128">
        <f t="shared" si="41"/>
        <v>7179.7574327931216</v>
      </c>
      <c r="H85" s="128">
        <f t="shared" si="41"/>
        <v>7248.9832715978237</v>
      </c>
      <c r="I85" s="128">
        <f t="shared" si="41"/>
        <v>7318.8765726118118</v>
      </c>
      <c r="J85" s="293"/>
      <c r="K85" s="293"/>
      <c r="L85" s="293"/>
      <c r="M85" s="293"/>
      <c r="N85" s="293"/>
      <c r="O85" s="293"/>
      <c r="P85" s="293"/>
      <c r="Q85" s="219"/>
      <c r="R85" s="133"/>
      <c r="S85" s="133"/>
      <c r="T85" s="133"/>
      <c r="U85" s="133"/>
      <c r="V85" s="133"/>
      <c r="W85" s="133"/>
      <c r="X85" s="133"/>
      <c r="Y85" s="133"/>
      <c r="Z85" s="133"/>
      <c r="AJ85" s="292"/>
      <c r="AK85" s="292"/>
      <c r="AL85" s="292"/>
      <c r="AM85" s="292"/>
      <c r="AN85" s="292"/>
    </row>
    <row r="86" spans="1:40" x14ac:dyDescent="0.25">
      <c r="A86" s="293"/>
      <c r="B86" s="358" t="s">
        <v>1125</v>
      </c>
      <c r="C86" s="149">
        <f>'Inputs and eligible population'!L103</f>
        <v>15</v>
      </c>
      <c r="D86" s="128">
        <f>((D64+D65+D66)*$C$86)/60</f>
        <v>10323.443389106686</v>
      </c>
      <c r="E86" s="128">
        <f t="shared" ref="E86:I86" si="42">((E64+E65+E66)*$C$86)/60</f>
        <v>7756.6363107938387</v>
      </c>
      <c r="F86" s="128">
        <f t="shared" si="42"/>
        <v>5057.7948634328586</v>
      </c>
      <c r="G86" s="128">
        <f t="shared" si="42"/>
        <v>5106.5611476981276</v>
      </c>
      <c r="H86" s="128">
        <f t="shared" si="42"/>
        <v>5155.7976270870113</v>
      </c>
      <c r="I86" s="128">
        <f t="shared" si="42"/>
        <v>5205.5088351303657</v>
      </c>
      <c r="J86" s="293"/>
      <c r="K86" s="293"/>
      <c r="L86" s="293"/>
      <c r="M86" s="293"/>
      <c r="N86" s="293"/>
      <c r="O86" s="293"/>
      <c r="P86" s="293"/>
      <c r="Q86" s="219"/>
      <c r="R86" s="133"/>
      <c r="S86" s="133"/>
      <c r="T86" s="133"/>
      <c r="U86" s="133"/>
      <c r="V86" s="133"/>
      <c r="W86" s="133"/>
      <c r="X86" s="133"/>
      <c r="Y86" s="133"/>
      <c r="Z86" s="133"/>
      <c r="AJ86" s="292"/>
      <c r="AK86" s="292"/>
      <c r="AL86" s="292"/>
      <c r="AM86" s="292"/>
      <c r="AN86" s="292"/>
    </row>
    <row r="87" spans="1:40" x14ac:dyDescent="0.25">
      <c r="A87" s="293"/>
      <c r="B87" s="358" t="s">
        <v>1248</v>
      </c>
      <c r="C87" s="149">
        <f>'Inputs and eligible population'!M103</f>
        <v>0</v>
      </c>
      <c r="D87" s="128">
        <f t="shared" ref="D87:I87" si="43">(D67*$C$87)/60</f>
        <v>0</v>
      </c>
      <c r="E87" s="128">
        <f t="shared" si="43"/>
        <v>0</v>
      </c>
      <c r="F87" s="128">
        <f t="shared" si="43"/>
        <v>0</v>
      </c>
      <c r="G87" s="128">
        <f t="shared" si="43"/>
        <v>0</v>
      </c>
      <c r="H87" s="128">
        <f t="shared" si="43"/>
        <v>0</v>
      </c>
      <c r="I87" s="128">
        <f t="shared" si="43"/>
        <v>0</v>
      </c>
      <c r="J87" s="293"/>
      <c r="K87" s="293"/>
      <c r="L87" s="293"/>
      <c r="M87" s="293"/>
      <c r="N87" s="293"/>
      <c r="O87" s="293"/>
      <c r="P87" s="293"/>
      <c r="Q87" s="219"/>
      <c r="R87" s="133"/>
      <c r="S87" s="133"/>
      <c r="T87" s="133"/>
      <c r="U87" s="133"/>
      <c r="V87" s="133"/>
      <c r="W87" s="133"/>
      <c r="X87" s="133"/>
      <c r="Y87" s="133"/>
      <c r="Z87" s="133"/>
      <c r="AJ87" s="292"/>
      <c r="AK87" s="292"/>
      <c r="AL87" s="292"/>
      <c r="AM87" s="292"/>
      <c r="AN87" s="292"/>
    </row>
    <row r="88" spans="1:40" x14ac:dyDescent="0.25">
      <c r="A88" s="293"/>
      <c r="B88" s="358" t="s">
        <v>1251</v>
      </c>
      <c r="C88" s="149">
        <f>'Inputs and eligible population'!N103</f>
        <v>0</v>
      </c>
      <c r="D88" s="128">
        <f t="shared" ref="D88:I88" si="44">((D68+D69)*$C$88)/60</f>
        <v>0</v>
      </c>
      <c r="E88" s="128">
        <f t="shared" si="44"/>
        <v>0</v>
      </c>
      <c r="F88" s="128">
        <f t="shared" si="44"/>
        <v>0</v>
      </c>
      <c r="G88" s="128">
        <f t="shared" si="44"/>
        <v>0</v>
      </c>
      <c r="H88" s="128">
        <f t="shared" si="44"/>
        <v>0</v>
      </c>
      <c r="I88" s="128">
        <f t="shared" si="44"/>
        <v>0</v>
      </c>
      <c r="J88" s="293"/>
      <c r="K88" s="293"/>
      <c r="L88" s="293"/>
      <c r="M88" s="293"/>
      <c r="N88" s="293"/>
      <c r="O88" s="293"/>
      <c r="P88" s="293"/>
      <c r="Q88" s="219"/>
      <c r="R88" s="133"/>
      <c r="S88" s="133"/>
      <c r="T88" s="133"/>
      <c r="U88" s="133"/>
      <c r="V88" s="133"/>
      <c r="W88" s="133"/>
      <c r="X88" s="133"/>
      <c r="Y88" s="133"/>
      <c r="Z88" s="133"/>
      <c r="AJ88" s="292"/>
      <c r="AK88" s="292"/>
      <c r="AL88" s="292"/>
      <c r="AM88" s="292"/>
      <c r="AN88" s="292"/>
    </row>
    <row r="89" spans="1:40" x14ac:dyDescent="0.25">
      <c r="A89" s="293"/>
      <c r="B89" s="289"/>
      <c r="C89" s="289"/>
      <c r="D89" s="187">
        <f t="shared" ref="D89:I89" si="45">SUM(D85:D88)</f>
        <v>10323.443389106686</v>
      </c>
      <c r="E89" s="187">
        <f t="shared" si="45"/>
        <v>10928.818107364988</v>
      </c>
      <c r="F89" s="187">
        <f t="shared" si="45"/>
        <v>11908.586183683778</v>
      </c>
      <c r="G89" s="187">
        <f t="shared" si="45"/>
        <v>12286.31858049125</v>
      </c>
      <c r="H89" s="187">
        <f t="shared" si="45"/>
        <v>12404.780898684836</v>
      </c>
      <c r="I89" s="187">
        <f t="shared" si="45"/>
        <v>12524.385407742178</v>
      </c>
      <c r="J89" s="293"/>
      <c r="K89" s="293"/>
      <c r="L89" s="293"/>
      <c r="M89" s="293"/>
      <c r="N89" s="293"/>
      <c r="O89" s="293"/>
      <c r="P89" s="293"/>
      <c r="Q89" s="219"/>
      <c r="S89" s="133"/>
      <c r="T89" s="133"/>
      <c r="U89" s="133"/>
      <c r="V89" s="133"/>
      <c r="W89" s="133"/>
      <c r="X89" s="133"/>
      <c r="Y89" s="133"/>
      <c r="Z89" s="133"/>
      <c r="AJ89" s="292"/>
      <c r="AK89" s="292"/>
      <c r="AL89" s="292"/>
      <c r="AM89" s="292"/>
      <c r="AN89" s="292"/>
    </row>
    <row r="90" spans="1:40" x14ac:dyDescent="0.25">
      <c r="A90" s="293"/>
      <c r="B90" s="289"/>
      <c r="C90" s="289"/>
      <c r="D90" s="291" t="s">
        <v>763</v>
      </c>
      <c r="E90" s="187">
        <f>E89-$D$89</f>
        <v>605.37471825830289</v>
      </c>
      <c r="F90" s="187">
        <f>F89-$D$89</f>
        <v>1585.142794577092</v>
      </c>
      <c r="G90" s="187">
        <f>G89-$D$89</f>
        <v>1962.8751913845645</v>
      </c>
      <c r="H90" s="187">
        <f>H89-$D$89</f>
        <v>2081.3375095781503</v>
      </c>
      <c r="I90" s="187">
        <f>I89-$D$89</f>
        <v>2200.9420186354928</v>
      </c>
      <c r="J90" s="293"/>
      <c r="K90" s="293"/>
      <c r="L90" s="293"/>
      <c r="M90" s="293"/>
      <c r="N90" s="293"/>
      <c r="O90" s="293"/>
      <c r="P90" s="293"/>
      <c r="Q90" s="219"/>
      <c r="S90" s="133"/>
      <c r="T90" s="133"/>
      <c r="U90" s="133"/>
      <c r="V90" s="133"/>
      <c r="W90" s="133"/>
      <c r="X90" s="133"/>
      <c r="Y90" s="133"/>
      <c r="Z90" s="133"/>
      <c r="AJ90" s="292"/>
      <c r="AK90" s="292"/>
      <c r="AL90" s="292"/>
      <c r="AM90" s="292"/>
      <c r="AN90" s="292"/>
    </row>
    <row r="91" spans="1:40" x14ac:dyDescent="0.25">
      <c r="A91" s="293"/>
      <c r="B91" s="331"/>
      <c r="C91" s="219"/>
      <c r="D91" s="219"/>
      <c r="E91" s="219"/>
      <c r="F91" s="219"/>
      <c r="G91" s="219"/>
      <c r="H91" s="219"/>
      <c r="I91" s="219"/>
      <c r="J91" s="219"/>
      <c r="K91" s="219"/>
      <c r="L91" s="293"/>
      <c r="M91" s="293"/>
      <c r="N91" s="293"/>
      <c r="O91" s="293"/>
      <c r="P91" s="293"/>
      <c r="Q91" s="219"/>
      <c r="S91" s="133"/>
      <c r="T91" s="133"/>
      <c r="U91" s="133"/>
      <c r="V91" s="133"/>
      <c r="W91" s="133"/>
      <c r="X91" s="133"/>
      <c r="Y91" s="133"/>
      <c r="Z91" s="133"/>
      <c r="AJ91" s="292"/>
      <c r="AK91" s="292"/>
      <c r="AL91" s="292"/>
      <c r="AM91" s="292"/>
      <c r="AN91" s="292"/>
    </row>
    <row r="92" spans="1:40" x14ac:dyDescent="0.25">
      <c r="A92" s="293"/>
      <c r="B92" s="402" t="s">
        <v>183</v>
      </c>
      <c r="C92" s="401"/>
      <c r="D92" s="401"/>
      <c r="E92" s="401"/>
      <c r="F92" s="401"/>
      <c r="G92" s="401"/>
      <c r="H92" s="401"/>
      <c r="I92" s="218"/>
      <c r="J92" s="442"/>
      <c r="K92" s="219"/>
      <c r="L92" s="293"/>
      <c r="M92" s="293"/>
      <c r="N92" s="293"/>
      <c r="O92" s="293"/>
      <c r="P92" s="293"/>
      <c r="Q92" s="219"/>
      <c r="V92" s="133"/>
      <c r="AJ92" s="292"/>
      <c r="AK92" s="292"/>
      <c r="AL92" s="292"/>
      <c r="AM92" s="292"/>
      <c r="AN92" s="292"/>
    </row>
    <row r="93" spans="1:40" ht="60" x14ac:dyDescent="0.25">
      <c r="A93" s="293"/>
      <c r="B93" s="288" t="s">
        <v>131</v>
      </c>
      <c r="C93" s="166" t="s">
        <v>90</v>
      </c>
      <c r="D93" s="434" t="s">
        <v>743</v>
      </c>
      <c r="E93" s="261" t="s">
        <v>51</v>
      </c>
      <c r="F93" s="261" t="s">
        <v>52</v>
      </c>
      <c r="G93" s="165" t="s">
        <v>744</v>
      </c>
      <c r="H93" s="165" t="s">
        <v>745</v>
      </c>
      <c r="I93" s="261" t="s">
        <v>746</v>
      </c>
      <c r="J93" s="293"/>
      <c r="K93" s="293"/>
      <c r="L93" s="293"/>
      <c r="M93" s="293"/>
      <c r="N93" s="293"/>
      <c r="O93" s="293"/>
      <c r="P93" s="293"/>
      <c r="Q93" s="219"/>
      <c r="V93" s="133"/>
      <c r="AJ93" s="292"/>
      <c r="AK93" s="292"/>
      <c r="AL93" s="292"/>
      <c r="AM93" s="292"/>
      <c r="AN93" s="292"/>
    </row>
    <row r="94" spans="1:40" x14ac:dyDescent="0.25">
      <c r="A94" s="293"/>
      <c r="B94" s="358" t="s">
        <v>1247</v>
      </c>
      <c r="C94" s="149">
        <f>'Inputs and eligible population'!K104</f>
        <v>15</v>
      </c>
      <c r="D94" s="128">
        <f t="shared" ref="D94:I94" si="46">((D60+D61+D62+D63)*$C$94)/60</f>
        <v>0</v>
      </c>
      <c r="E94" s="128">
        <f t="shared" si="46"/>
        <v>3172.1817965711498</v>
      </c>
      <c r="F94" s="128">
        <f t="shared" si="46"/>
        <v>6850.7913202509189</v>
      </c>
      <c r="G94" s="128">
        <f t="shared" si="46"/>
        <v>7179.7574327931216</v>
      </c>
      <c r="H94" s="128">
        <f t="shared" si="46"/>
        <v>7248.9832715978237</v>
      </c>
      <c r="I94" s="128">
        <f t="shared" si="46"/>
        <v>7318.8765726118118</v>
      </c>
      <c r="J94" s="293"/>
      <c r="K94" s="293"/>
      <c r="L94" s="293"/>
      <c r="M94" s="293"/>
      <c r="N94" s="293"/>
      <c r="O94" s="293"/>
      <c r="P94" s="293"/>
      <c r="Q94" s="219"/>
      <c r="V94" s="133"/>
      <c r="AJ94" s="292"/>
      <c r="AK94" s="292"/>
      <c r="AL94" s="292"/>
      <c r="AM94" s="292"/>
      <c r="AN94" s="292"/>
    </row>
    <row r="95" spans="1:40" x14ac:dyDescent="0.25">
      <c r="A95" s="293"/>
      <c r="B95" s="358" t="s">
        <v>1125</v>
      </c>
      <c r="C95" s="149">
        <f>'Inputs and eligible population'!L104</f>
        <v>15</v>
      </c>
      <c r="D95" s="128">
        <f>((D64+D65+D66)*$C$95)/60</f>
        <v>10323.443389106686</v>
      </c>
      <c r="E95" s="128">
        <f t="shared" ref="E95:I95" si="47">((E64+E65+E66)*$C$95)/60</f>
        <v>7756.6363107938387</v>
      </c>
      <c r="F95" s="128">
        <f t="shared" si="47"/>
        <v>5057.7948634328586</v>
      </c>
      <c r="G95" s="128">
        <f t="shared" si="47"/>
        <v>5106.5611476981276</v>
      </c>
      <c r="H95" s="128">
        <f t="shared" si="47"/>
        <v>5155.7976270870113</v>
      </c>
      <c r="I95" s="128">
        <f t="shared" si="47"/>
        <v>5205.5088351303657</v>
      </c>
      <c r="J95" s="293"/>
      <c r="K95" s="293"/>
      <c r="L95" s="293"/>
      <c r="M95" s="293"/>
      <c r="N95" s="293"/>
      <c r="O95" s="293"/>
      <c r="P95" s="293"/>
      <c r="Q95" s="219"/>
      <c r="V95" s="133"/>
      <c r="AJ95" s="292"/>
      <c r="AK95" s="292"/>
      <c r="AL95" s="292"/>
      <c r="AM95" s="292"/>
      <c r="AN95" s="292"/>
    </row>
    <row r="96" spans="1:40" x14ac:dyDescent="0.25">
      <c r="A96" s="293"/>
      <c r="B96" s="358" t="s">
        <v>1248</v>
      </c>
      <c r="C96" s="149">
        <f>'Inputs and eligible population'!M104</f>
        <v>0</v>
      </c>
      <c r="D96" s="128">
        <f t="shared" ref="D96:I96" si="48">(D67*$C$96)/60</f>
        <v>0</v>
      </c>
      <c r="E96" s="128">
        <f t="shared" si="48"/>
        <v>0</v>
      </c>
      <c r="F96" s="128">
        <f t="shared" si="48"/>
        <v>0</v>
      </c>
      <c r="G96" s="128">
        <f t="shared" si="48"/>
        <v>0</v>
      </c>
      <c r="H96" s="128">
        <f t="shared" si="48"/>
        <v>0</v>
      </c>
      <c r="I96" s="128">
        <f t="shared" si="48"/>
        <v>0</v>
      </c>
      <c r="J96" s="293"/>
      <c r="K96" s="293"/>
      <c r="L96" s="293"/>
      <c r="M96" s="293"/>
      <c r="N96" s="293"/>
      <c r="O96" s="293"/>
      <c r="P96" s="293"/>
      <c r="Q96" s="219"/>
      <c r="V96" s="133"/>
      <c r="AJ96" s="292"/>
      <c r="AK96" s="292"/>
      <c r="AL96" s="292"/>
      <c r="AM96" s="292"/>
      <c r="AN96" s="292"/>
    </row>
    <row r="97" spans="1:40" x14ac:dyDescent="0.25">
      <c r="A97" s="293"/>
      <c r="B97" s="358" t="s">
        <v>1251</v>
      </c>
      <c r="C97" s="149">
        <f>'Inputs and eligible population'!N104</f>
        <v>0</v>
      </c>
      <c r="D97" s="128">
        <f t="shared" ref="D97:I97" si="49">((D68+D69)*$C$97)/60</f>
        <v>0</v>
      </c>
      <c r="E97" s="128">
        <f t="shared" si="49"/>
        <v>0</v>
      </c>
      <c r="F97" s="128">
        <f t="shared" si="49"/>
        <v>0</v>
      </c>
      <c r="G97" s="128">
        <f t="shared" si="49"/>
        <v>0</v>
      </c>
      <c r="H97" s="128">
        <f t="shared" si="49"/>
        <v>0</v>
      </c>
      <c r="I97" s="128">
        <f t="shared" si="49"/>
        <v>0</v>
      </c>
      <c r="J97" s="293"/>
      <c r="K97" s="293"/>
      <c r="L97" s="293"/>
      <c r="M97" s="293"/>
      <c r="N97" s="293"/>
      <c r="O97" s="293"/>
      <c r="P97" s="293"/>
      <c r="Q97" s="219"/>
      <c r="V97" s="133"/>
      <c r="AJ97" s="292"/>
      <c r="AK97" s="292"/>
      <c r="AL97" s="292"/>
      <c r="AM97" s="292"/>
      <c r="AN97" s="292"/>
    </row>
    <row r="98" spans="1:40" x14ac:dyDescent="0.25">
      <c r="A98" s="293"/>
      <c r="B98" s="289"/>
      <c r="C98" s="289"/>
      <c r="D98" s="187">
        <f t="shared" ref="D98:I98" si="50">SUM(D94:D97)</f>
        <v>10323.443389106686</v>
      </c>
      <c r="E98" s="187">
        <f t="shared" si="50"/>
        <v>10928.818107364988</v>
      </c>
      <c r="F98" s="187">
        <f t="shared" si="50"/>
        <v>11908.586183683778</v>
      </c>
      <c r="G98" s="187">
        <f t="shared" si="50"/>
        <v>12286.31858049125</v>
      </c>
      <c r="H98" s="187">
        <f t="shared" si="50"/>
        <v>12404.780898684836</v>
      </c>
      <c r="I98" s="187">
        <f t="shared" si="50"/>
        <v>12524.385407742178</v>
      </c>
      <c r="J98" s="293"/>
      <c r="K98" s="293"/>
      <c r="L98" s="293"/>
      <c r="M98" s="293"/>
      <c r="N98" s="293"/>
      <c r="O98" s="293"/>
      <c r="P98" s="293"/>
      <c r="Q98" s="219"/>
      <c r="R98" s="133"/>
      <c r="S98" s="133"/>
      <c r="T98" s="133"/>
      <c r="U98" s="133"/>
      <c r="V98" s="133"/>
      <c r="W98" s="133"/>
      <c r="X98" s="133"/>
      <c r="Y98" s="133"/>
      <c r="Z98" s="133"/>
      <c r="AJ98" s="292"/>
      <c r="AK98" s="292"/>
      <c r="AL98" s="292"/>
      <c r="AM98" s="292"/>
      <c r="AN98" s="292"/>
    </row>
    <row r="99" spans="1:40" x14ac:dyDescent="0.25">
      <c r="A99" s="293"/>
      <c r="B99" s="312"/>
      <c r="C99" s="289"/>
      <c r="D99" s="291" t="s">
        <v>764</v>
      </c>
      <c r="E99" s="187">
        <f>E98-$D$98</f>
        <v>605.37471825830289</v>
      </c>
      <c r="F99" s="187">
        <f>F98-$D$98</f>
        <v>1585.142794577092</v>
      </c>
      <c r="G99" s="187">
        <f>G98-$D$98</f>
        <v>1962.8751913845645</v>
      </c>
      <c r="H99" s="187">
        <f>H98-$D$98</f>
        <v>2081.3375095781503</v>
      </c>
      <c r="I99" s="187">
        <f>I98-$D$98</f>
        <v>2200.9420186354928</v>
      </c>
      <c r="J99" s="293"/>
      <c r="K99" s="293"/>
      <c r="L99" s="293"/>
      <c r="M99" s="293"/>
      <c r="N99" s="293"/>
      <c r="O99" s="293"/>
      <c r="P99" s="293"/>
      <c r="Q99" s="219"/>
      <c r="R99" s="133"/>
      <c r="S99" s="133"/>
      <c r="T99" s="133"/>
      <c r="U99" s="133"/>
      <c r="V99" s="133"/>
      <c r="W99" s="133"/>
      <c r="X99" s="133"/>
      <c r="Y99" s="133"/>
      <c r="Z99" s="133"/>
      <c r="AJ99" s="292"/>
      <c r="AK99" s="292"/>
      <c r="AL99" s="292"/>
      <c r="AM99" s="292"/>
      <c r="AN99" s="292"/>
    </row>
    <row r="100" spans="1:40" x14ac:dyDescent="0.25">
      <c r="A100" s="293"/>
      <c r="B100" s="331"/>
      <c r="C100" s="219"/>
      <c r="D100" s="219"/>
      <c r="E100" s="219"/>
      <c r="F100" s="219"/>
      <c r="G100" s="219"/>
      <c r="H100" s="219"/>
      <c r="I100" s="219"/>
      <c r="J100" s="293"/>
      <c r="K100" s="293"/>
      <c r="L100" s="293"/>
      <c r="M100" s="293"/>
      <c r="N100" s="293"/>
      <c r="O100" s="293"/>
      <c r="P100" s="293"/>
      <c r="Q100" s="219"/>
      <c r="R100" s="133"/>
      <c r="S100" s="133"/>
      <c r="T100" s="133"/>
      <c r="U100" s="133"/>
      <c r="V100" s="133"/>
      <c r="W100" s="133"/>
      <c r="X100" s="133"/>
      <c r="Y100" s="133"/>
      <c r="Z100" s="133"/>
      <c r="AJ100" s="292"/>
      <c r="AK100" s="292"/>
      <c r="AL100" s="292"/>
      <c r="AM100" s="292"/>
      <c r="AN100" s="292"/>
    </row>
    <row r="101" spans="1:40" x14ac:dyDescent="0.25">
      <c r="A101" s="295"/>
      <c r="B101" s="332" t="s">
        <v>765</v>
      </c>
      <c r="C101" s="315"/>
      <c r="D101" s="314"/>
      <c r="E101" s="315"/>
      <c r="F101" s="316"/>
      <c r="G101" s="317"/>
      <c r="H101" s="317"/>
      <c r="I101" s="373"/>
      <c r="J101" s="295"/>
      <c r="K101" s="295"/>
      <c r="L101" s="295"/>
      <c r="M101" s="295"/>
      <c r="N101" s="295"/>
      <c r="O101" s="295"/>
      <c r="P101" s="295"/>
      <c r="Q101" s="295"/>
      <c r="R101" s="133"/>
      <c r="S101" s="133"/>
      <c r="T101" s="133"/>
      <c r="U101" s="133"/>
      <c r="V101" s="133"/>
      <c r="W101" s="133"/>
      <c r="X101" s="133"/>
      <c r="Y101" s="133"/>
      <c r="Z101" s="133"/>
      <c r="AJ101" s="292"/>
      <c r="AK101" s="292"/>
      <c r="AL101" s="292"/>
      <c r="AM101" s="292"/>
      <c r="AN101" s="292"/>
    </row>
    <row r="102" spans="1:40" hidden="1" x14ac:dyDescent="0.25">
      <c r="A102" s="295"/>
      <c r="B102" s="403" t="s">
        <v>766</v>
      </c>
      <c r="C102" s="404"/>
      <c r="D102" s="404"/>
      <c r="E102" s="404"/>
      <c r="F102" s="404"/>
      <c r="G102" s="404"/>
      <c r="H102" s="404"/>
      <c r="I102" s="222"/>
      <c r="J102" s="295"/>
      <c r="K102" s="295"/>
      <c r="L102" s="295"/>
      <c r="M102" s="295"/>
      <c r="N102" s="295"/>
      <c r="O102" s="295"/>
      <c r="P102" s="295"/>
      <c r="Q102" s="295"/>
      <c r="R102" s="133"/>
      <c r="S102" s="133"/>
      <c r="T102" s="133"/>
      <c r="U102" s="133"/>
      <c r="V102" s="133"/>
      <c r="W102" s="133"/>
      <c r="X102" s="133"/>
      <c r="Y102" s="133"/>
      <c r="Z102" s="133"/>
      <c r="AJ102" s="292"/>
      <c r="AK102" s="292"/>
      <c r="AL102" s="292"/>
      <c r="AM102" s="292"/>
      <c r="AN102" s="292"/>
    </row>
    <row r="103" spans="1:40" ht="75" hidden="1" x14ac:dyDescent="0.25">
      <c r="A103" s="295"/>
      <c r="B103" s="285" t="s">
        <v>131</v>
      </c>
      <c r="C103" s="166" t="s">
        <v>767</v>
      </c>
      <c r="D103" s="434" t="s">
        <v>743</v>
      </c>
      <c r="E103" s="261" t="s">
        <v>51</v>
      </c>
      <c r="F103" s="261" t="s">
        <v>52</v>
      </c>
      <c r="G103" s="165" t="s">
        <v>744</v>
      </c>
      <c r="H103" s="165" t="s">
        <v>745</v>
      </c>
      <c r="I103" s="261" t="s">
        <v>746</v>
      </c>
      <c r="J103" s="295"/>
      <c r="K103" s="295"/>
      <c r="L103" s="295"/>
      <c r="M103" s="295"/>
      <c r="N103" s="295"/>
      <c r="O103" s="295"/>
      <c r="P103" s="295"/>
      <c r="Q103" s="295"/>
      <c r="R103" s="133"/>
      <c r="S103" s="133"/>
      <c r="T103" s="133"/>
      <c r="U103" s="133"/>
      <c r="V103" s="133"/>
      <c r="W103" s="133"/>
      <c r="X103" s="133"/>
      <c r="Y103" s="133"/>
      <c r="Z103" s="133"/>
      <c r="AJ103" s="292"/>
      <c r="AK103" s="292"/>
      <c r="AL103" s="292"/>
      <c r="AM103" s="292"/>
      <c r="AN103" s="292"/>
    </row>
    <row r="104" spans="1:40" hidden="1" x14ac:dyDescent="0.25">
      <c r="A104" s="295"/>
      <c r="B104" s="358" t="s">
        <v>1181</v>
      </c>
      <c r="C104" s="149">
        <f>'Inputs and eligible population'!F105</f>
        <v>0</v>
      </c>
      <c r="D104" s="128" t="e">
        <f>D$7*'Inputs and eligible population'!#REF!*'Unit costs'!$O$9*'Capacity (local prices) 3rd'!$C106</f>
        <v>#REF!</v>
      </c>
      <c r="E104" s="128" t="e">
        <f>E$7*'Inputs and eligible population'!#REF!*'Unit costs'!$O$9*'Capacity (local prices) 3rd'!$C106</f>
        <v>#REF!</v>
      </c>
      <c r="F104" s="128" t="e">
        <f>F$7*'Inputs and eligible population'!#REF!*'Unit costs'!$O$9*'Capacity (local prices) 3rd'!$C106</f>
        <v>#REF!</v>
      </c>
      <c r="G104" s="128" t="e">
        <f>G$7*'Inputs and eligible population'!#REF!*'Unit costs'!$O$9*'Capacity (local prices) 3rd'!$C106</f>
        <v>#REF!</v>
      </c>
      <c r="H104" s="128" t="e">
        <f>H$7*'Inputs and eligible population'!#REF!*'Unit costs'!$O$9*'Capacity (local prices) 3rd'!$C106</f>
        <v>#REF!</v>
      </c>
      <c r="I104" s="128" t="e">
        <f>I$7*'Inputs and eligible population'!#REF!*'Unit costs'!$O$9*'Capacity (local prices) 3rd'!$C106</f>
        <v>#REF!</v>
      </c>
      <c r="J104" s="295"/>
      <c r="K104" s="295"/>
      <c r="L104" s="295"/>
      <c r="M104" s="295"/>
      <c r="N104" s="295"/>
      <c r="O104" s="295"/>
      <c r="P104" s="295"/>
      <c r="Q104" s="295"/>
      <c r="R104" s="133"/>
      <c r="S104" s="133"/>
      <c r="T104" s="133"/>
      <c r="U104" s="133"/>
      <c r="V104" s="133"/>
      <c r="W104" s="133"/>
      <c r="X104" s="133"/>
      <c r="Y104" s="133"/>
      <c r="Z104" s="133"/>
      <c r="AJ104" s="292"/>
      <c r="AK104" s="292"/>
      <c r="AL104" s="292"/>
      <c r="AM104" s="292"/>
      <c r="AN104" s="292"/>
    </row>
    <row r="105" spans="1:40" hidden="1" x14ac:dyDescent="0.25">
      <c r="A105" s="295"/>
      <c r="B105" s="358" t="s">
        <v>1182</v>
      </c>
      <c r="C105" s="149">
        <f>'Inputs and eligible population'!H105</f>
        <v>0</v>
      </c>
      <c r="D105" s="128" t="e">
        <f>D$7*'Inputs and eligible population'!#REF!*'Unit costs'!$O$14*'Capacity (local prices) 3rd'!$C107</f>
        <v>#REF!</v>
      </c>
      <c r="E105" s="128" t="e">
        <f>E$7*'Inputs and eligible population'!#REF!*'Unit costs'!$O$14*'Capacity (local prices) 3rd'!$C107</f>
        <v>#REF!</v>
      </c>
      <c r="F105" s="128" t="e">
        <f>F$7*'Inputs and eligible population'!#REF!*'Unit costs'!$O$14*'Capacity (local prices) 3rd'!$C107</f>
        <v>#REF!</v>
      </c>
      <c r="G105" s="128" t="e">
        <f>G$7*'Inputs and eligible population'!#REF!*'Unit costs'!$O$14*'Capacity (local prices) 3rd'!$C107</f>
        <v>#REF!</v>
      </c>
      <c r="H105" s="128" t="e">
        <f>H$7*'Inputs and eligible population'!#REF!*'Unit costs'!$O$14*'Capacity (local prices) 3rd'!$C107</f>
        <v>#REF!</v>
      </c>
      <c r="I105" s="128" t="e">
        <f>I$7*'Inputs and eligible population'!#REF!*'Unit costs'!$O$14*'Capacity (local prices) 3rd'!$C107</f>
        <v>#REF!</v>
      </c>
      <c r="J105" s="295"/>
      <c r="K105" s="295"/>
      <c r="L105" s="295"/>
      <c r="M105" s="295"/>
      <c r="N105" s="295"/>
      <c r="O105" s="295"/>
      <c r="P105" s="295"/>
      <c r="Q105" s="295"/>
      <c r="R105" s="133"/>
      <c r="S105" s="133"/>
      <c r="T105" s="133"/>
      <c r="U105" s="133"/>
      <c r="V105" s="133"/>
      <c r="W105" s="133"/>
      <c r="X105" s="133"/>
      <c r="Y105" s="133"/>
      <c r="Z105" s="133"/>
      <c r="AJ105" s="292"/>
      <c r="AK105" s="292"/>
      <c r="AL105" s="292"/>
      <c r="AM105" s="292"/>
      <c r="AN105" s="292"/>
    </row>
    <row r="106" spans="1:40" hidden="1" x14ac:dyDescent="0.25">
      <c r="A106" s="295"/>
      <c r="B106" s="358" t="s">
        <v>1183</v>
      </c>
      <c r="C106" s="149">
        <f>'Inputs and eligible population'!I105</f>
        <v>0</v>
      </c>
      <c r="D106" s="128" t="e">
        <f>D$7*'Inputs and eligible population'!#REF!*'Unit costs'!$O$36*'Capacity (local prices) 3rd'!$C108</f>
        <v>#REF!</v>
      </c>
      <c r="E106" s="128" t="e">
        <f>E$7*'Inputs and eligible population'!#REF!*'Unit costs'!$O$36*'Capacity (local prices) 3rd'!$C108</f>
        <v>#REF!</v>
      </c>
      <c r="F106" s="128" t="e">
        <f>F$7*'Inputs and eligible population'!#REF!*'Unit costs'!$O$36*'Capacity (local prices) 3rd'!$C108</f>
        <v>#REF!</v>
      </c>
      <c r="G106" s="128" t="e">
        <f>G$7*'Inputs and eligible population'!#REF!*'Unit costs'!$O$36*'Capacity (local prices) 3rd'!$C108</f>
        <v>#REF!</v>
      </c>
      <c r="H106" s="128" t="e">
        <f>H$7*'Inputs and eligible population'!#REF!*'Unit costs'!$O$36*'Capacity (local prices) 3rd'!$C108</f>
        <v>#REF!</v>
      </c>
      <c r="I106" s="128" t="e">
        <f>I$7*'Inputs and eligible population'!#REF!*'Unit costs'!$O$36*'Capacity (local prices) 3rd'!$C108</f>
        <v>#REF!</v>
      </c>
      <c r="J106" s="295"/>
      <c r="K106" s="295"/>
      <c r="L106" s="295"/>
      <c r="M106" s="295"/>
      <c r="N106" s="295"/>
      <c r="O106" s="295"/>
      <c r="P106" s="295"/>
      <c r="Q106" s="295"/>
      <c r="R106" s="133"/>
      <c r="S106" s="133"/>
      <c r="T106" s="133"/>
      <c r="U106" s="133"/>
      <c r="V106" s="133"/>
      <c r="W106" s="133"/>
      <c r="X106" s="133"/>
      <c r="Y106" s="133"/>
      <c r="Z106" s="133"/>
      <c r="AJ106" s="292"/>
      <c r="AK106" s="292"/>
      <c r="AL106" s="292"/>
      <c r="AM106" s="292"/>
      <c r="AN106" s="292"/>
    </row>
    <row r="107" spans="1:40" hidden="1" x14ac:dyDescent="0.25">
      <c r="A107" s="295"/>
      <c r="B107" s="289"/>
      <c r="C107" s="209"/>
      <c r="D107" s="187" t="e">
        <f t="shared" ref="D107:I107" si="51">SUM(D104:D106)</f>
        <v>#REF!</v>
      </c>
      <c r="E107" s="187" t="e">
        <f>SUM(E104:E106)</f>
        <v>#REF!</v>
      </c>
      <c r="F107" s="187" t="e">
        <f t="shared" si="51"/>
        <v>#REF!</v>
      </c>
      <c r="G107" s="187" t="e">
        <f t="shared" si="51"/>
        <v>#REF!</v>
      </c>
      <c r="H107" s="187" t="e">
        <f t="shared" si="51"/>
        <v>#REF!</v>
      </c>
      <c r="I107" s="187" t="e">
        <f t="shared" si="51"/>
        <v>#REF!</v>
      </c>
      <c r="J107" s="295"/>
      <c r="K107" s="295"/>
      <c r="L107" s="295"/>
      <c r="M107" s="295"/>
      <c r="N107" s="295"/>
      <c r="O107" s="295"/>
      <c r="P107" s="295"/>
      <c r="Q107" s="295"/>
      <c r="R107" s="133"/>
      <c r="S107" s="133"/>
      <c r="T107" s="133"/>
      <c r="U107" s="133"/>
      <c r="V107" s="133"/>
      <c r="W107" s="133"/>
      <c r="X107" s="133"/>
      <c r="Y107" s="133"/>
      <c r="Z107" s="133"/>
      <c r="AJ107" s="292"/>
      <c r="AK107" s="292"/>
      <c r="AL107" s="292"/>
      <c r="AM107" s="292"/>
      <c r="AN107" s="292"/>
    </row>
    <row r="108" spans="1:40" hidden="1" x14ac:dyDescent="0.25">
      <c r="A108" s="295"/>
      <c r="B108" s="312"/>
      <c r="C108" s="227"/>
      <c r="D108" s="291" t="s">
        <v>184</v>
      </c>
      <c r="E108" s="187" t="e">
        <f>E107-$D$107</f>
        <v>#REF!</v>
      </c>
      <c r="F108" s="187" t="e">
        <f>F107-$D$107</f>
        <v>#REF!</v>
      </c>
      <c r="G108" s="187" t="e">
        <f>G107-$D$107</f>
        <v>#REF!</v>
      </c>
      <c r="H108" s="187" t="e">
        <f>H107-$D$107</f>
        <v>#REF!</v>
      </c>
      <c r="I108" s="187" t="e">
        <f>I107-$D$107</f>
        <v>#REF!</v>
      </c>
      <c r="J108" s="295"/>
      <c r="K108" s="295"/>
      <c r="L108" s="295"/>
      <c r="M108" s="295"/>
      <c r="N108" s="295"/>
      <c r="O108" s="295"/>
      <c r="P108" s="295"/>
      <c r="Q108" s="295"/>
      <c r="R108" s="133"/>
      <c r="S108" s="133"/>
      <c r="T108" s="133"/>
      <c r="U108" s="133"/>
      <c r="V108" s="133"/>
      <c r="W108" s="133"/>
      <c r="X108" s="133"/>
      <c r="Y108" s="133"/>
      <c r="Z108" s="133"/>
      <c r="AJ108" s="292"/>
      <c r="AK108" s="292"/>
      <c r="AL108" s="292"/>
      <c r="AM108" s="292"/>
      <c r="AN108" s="292"/>
    </row>
    <row r="109" spans="1:40" hidden="1" x14ac:dyDescent="0.25">
      <c r="A109" s="295"/>
      <c r="B109" s="333"/>
      <c r="C109" s="404"/>
      <c r="D109" s="223"/>
      <c r="E109" s="223"/>
      <c r="F109" s="223"/>
      <c r="G109" s="223"/>
      <c r="H109" s="317"/>
      <c r="I109" s="317"/>
      <c r="J109" s="295"/>
      <c r="K109" s="295"/>
      <c r="L109" s="295"/>
      <c r="M109" s="295"/>
      <c r="N109" s="295"/>
      <c r="O109" s="295"/>
      <c r="P109" s="295"/>
      <c r="Q109" s="295"/>
      <c r="R109" s="133"/>
      <c r="S109" s="133"/>
      <c r="T109" s="133"/>
      <c r="U109" s="133"/>
      <c r="V109" s="133"/>
      <c r="W109" s="133"/>
      <c r="X109" s="133"/>
      <c r="Y109" s="133"/>
      <c r="Z109" s="133"/>
      <c r="AJ109" s="292"/>
      <c r="AK109" s="292"/>
      <c r="AL109" s="292"/>
      <c r="AM109" s="292"/>
      <c r="AN109" s="292"/>
    </row>
    <row r="110" spans="1:40" hidden="1" x14ac:dyDescent="0.25">
      <c r="A110" s="295"/>
      <c r="B110" s="403" t="s">
        <v>768</v>
      </c>
      <c r="C110" s="404"/>
      <c r="D110" s="404"/>
      <c r="E110" s="404"/>
      <c r="F110" s="404"/>
      <c r="G110" s="404"/>
      <c r="H110" s="404"/>
      <c r="I110" s="222"/>
      <c r="J110" s="295"/>
      <c r="K110" s="295"/>
      <c r="L110" s="295"/>
      <c r="M110" s="295"/>
      <c r="N110" s="295"/>
      <c r="O110" s="295"/>
      <c r="P110" s="295"/>
      <c r="Q110" s="295"/>
      <c r="R110" s="133"/>
      <c r="S110" s="133"/>
      <c r="T110" s="133"/>
      <c r="U110" s="133"/>
      <c r="V110" s="133"/>
      <c r="W110" s="133"/>
      <c r="X110" s="133"/>
      <c r="Y110" s="133"/>
      <c r="Z110" s="133"/>
      <c r="AJ110" s="292"/>
      <c r="AK110" s="292"/>
      <c r="AL110" s="292"/>
      <c r="AM110" s="292"/>
      <c r="AN110" s="292"/>
    </row>
    <row r="111" spans="1:40" ht="75" hidden="1" x14ac:dyDescent="0.25">
      <c r="A111" s="295"/>
      <c r="B111" s="285" t="s">
        <v>131</v>
      </c>
      <c r="C111" s="166" t="s">
        <v>769</v>
      </c>
      <c r="D111" s="434" t="s">
        <v>743</v>
      </c>
      <c r="E111" s="261" t="s">
        <v>51</v>
      </c>
      <c r="F111" s="261" t="s">
        <v>52</v>
      </c>
      <c r="G111" s="165" t="s">
        <v>744</v>
      </c>
      <c r="H111" s="165" t="s">
        <v>745</v>
      </c>
      <c r="I111" s="261" t="s">
        <v>746</v>
      </c>
      <c r="J111" s="295"/>
      <c r="K111" s="295"/>
      <c r="L111" s="295"/>
      <c r="M111" s="295"/>
      <c r="N111" s="295"/>
      <c r="O111" s="295"/>
      <c r="P111" s="295"/>
      <c r="Q111" s="295"/>
      <c r="R111" s="133"/>
      <c r="S111" s="133"/>
      <c r="T111" s="133"/>
      <c r="U111" s="133"/>
      <c r="V111" s="133"/>
      <c r="W111" s="133"/>
      <c r="X111" s="133"/>
      <c r="Y111" s="133"/>
      <c r="Z111" s="133"/>
      <c r="AJ111" s="292"/>
      <c r="AK111" s="292"/>
      <c r="AL111" s="292"/>
      <c r="AM111" s="292"/>
      <c r="AN111" s="292"/>
    </row>
    <row r="112" spans="1:40" hidden="1" x14ac:dyDescent="0.25">
      <c r="A112" s="295"/>
      <c r="B112" s="358" t="s">
        <v>1181</v>
      </c>
      <c r="C112" s="149">
        <f>'Inputs and eligible population'!F106</f>
        <v>0</v>
      </c>
      <c r="D112" s="128" t="e">
        <f>D$7*'Inputs and eligible population'!#REF!*'Unit costs'!$O$9*'Capacity (local prices) 3rd'!$C114</f>
        <v>#REF!</v>
      </c>
      <c r="E112" s="128" t="e">
        <f>E$7*'Inputs and eligible population'!#REF!*'Unit costs'!$O$9*'Capacity (local prices) 3rd'!$C114</f>
        <v>#REF!</v>
      </c>
      <c r="F112" s="128" t="e">
        <f>F$7*'Inputs and eligible population'!#REF!*'Unit costs'!$O$9*'Capacity (local prices) 3rd'!$C114</f>
        <v>#REF!</v>
      </c>
      <c r="G112" s="128" t="e">
        <f>G$7*'Inputs and eligible population'!#REF!*'Unit costs'!$O$9*'Capacity (local prices) 3rd'!$C114</f>
        <v>#REF!</v>
      </c>
      <c r="H112" s="128" t="e">
        <f>H$7*'Inputs and eligible population'!#REF!*'Unit costs'!$O$9*'Capacity (local prices) 3rd'!$C114</f>
        <v>#REF!</v>
      </c>
      <c r="I112" s="128" t="e">
        <f>I$7*'Inputs and eligible population'!#REF!*'Unit costs'!$O$9*'Capacity (local prices) 3rd'!$C114</f>
        <v>#REF!</v>
      </c>
      <c r="J112" s="295"/>
      <c r="K112" s="295"/>
      <c r="L112" s="223"/>
      <c r="M112" s="223"/>
      <c r="N112" s="295"/>
      <c r="O112" s="223"/>
      <c r="P112" s="223"/>
      <c r="Q112" s="223"/>
      <c r="R112" s="133"/>
      <c r="S112" s="133"/>
      <c r="T112" s="133"/>
      <c r="U112" s="133"/>
      <c r="V112" s="133"/>
      <c r="W112" s="133"/>
      <c r="X112" s="133"/>
      <c r="Y112" s="133"/>
      <c r="Z112" s="133"/>
      <c r="AJ112" s="292"/>
      <c r="AK112" s="292"/>
      <c r="AL112" s="292"/>
      <c r="AM112" s="292"/>
      <c r="AN112" s="292"/>
    </row>
    <row r="113" spans="1:40" hidden="1" x14ac:dyDescent="0.25">
      <c r="A113" s="295"/>
      <c r="B113" s="358" t="s">
        <v>1182</v>
      </c>
      <c r="C113" s="149">
        <f>'Inputs and eligible population'!H106</f>
        <v>0</v>
      </c>
      <c r="D113" s="128" t="e">
        <f>D$7*'Inputs and eligible population'!#REF!*'Unit costs'!$O$36*'Capacity (local prices) 3rd'!$C115</f>
        <v>#REF!</v>
      </c>
      <c r="E113" s="128" t="e">
        <f>E$7*'Inputs and eligible population'!#REF!*'Unit costs'!$O$36*'Capacity (local prices) 3rd'!$C115</f>
        <v>#REF!</v>
      </c>
      <c r="F113" s="128" t="e">
        <f>F$7*'Inputs and eligible population'!#REF!*'Unit costs'!$O$36*'Capacity (local prices) 3rd'!$C115</f>
        <v>#REF!</v>
      </c>
      <c r="G113" s="128" t="e">
        <f>G$7*'Inputs and eligible population'!#REF!*'Unit costs'!$O$36*'Capacity (local prices) 3rd'!$C115</f>
        <v>#REF!</v>
      </c>
      <c r="H113" s="128" t="e">
        <f>H$7*'Inputs and eligible population'!#REF!*'Unit costs'!$O$36*'Capacity (local prices) 3rd'!$C115</f>
        <v>#REF!</v>
      </c>
      <c r="I113" s="128" t="e">
        <f>I$7*'Inputs and eligible population'!#REF!*'Unit costs'!$O$36*'Capacity (local prices) 3rd'!$C115</f>
        <v>#REF!</v>
      </c>
      <c r="J113" s="295"/>
      <c r="K113" s="295"/>
      <c r="L113" s="223"/>
      <c r="M113" s="223"/>
      <c r="N113" s="295"/>
      <c r="O113" s="223"/>
      <c r="P113" s="223"/>
      <c r="Q113" s="223"/>
      <c r="R113" s="133"/>
      <c r="S113" s="133"/>
      <c r="T113" s="133"/>
      <c r="U113" s="133"/>
      <c r="V113" s="133"/>
      <c r="W113" s="133"/>
      <c r="X113" s="133"/>
      <c r="Y113" s="133"/>
      <c r="Z113" s="133"/>
      <c r="AJ113" s="292"/>
      <c r="AK113" s="292"/>
      <c r="AL113" s="292"/>
      <c r="AM113" s="292"/>
      <c r="AN113" s="292"/>
    </row>
    <row r="114" spans="1:40" hidden="1" x14ac:dyDescent="0.25">
      <c r="A114" s="295"/>
      <c r="B114" s="358" t="s">
        <v>1183</v>
      </c>
      <c r="C114" s="149">
        <f>'Inputs and eligible population'!I106</f>
        <v>0</v>
      </c>
      <c r="D114" s="128" t="e">
        <f>D$7*'Inputs and eligible population'!#REF!*'Unit costs'!$O$44*'Capacity (local prices) 3rd'!$C116</f>
        <v>#REF!</v>
      </c>
      <c r="E114" s="128" t="e">
        <f>E$7*'Inputs and eligible population'!#REF!*'Unit costs'!$O$44*'Capacity (local prices) 3rd'!$C116</f>
        <v>#REF!</v>
      </c>
      <c r="F114" s="128" t="e">
        <f>F$7*'Inputs and eligible population'!#REF!*'Unit costs'!$O$44*'Capacity (local prices) 3rd'!$C116</f>
        <v>#REF!</v>
      </c>
      <c r="G114" s="128" t="e">
        <f>G$7*'Inputs and eligible population'!#REF!*'Unit costs'!$O$44*'Capacity (local prices) 3rd'!$C116</f>
        <v>#REF!</v>
      </c>
      <c r="H114" s="128" t="e">
        <f>H$7*'Inputs and eligible population'!#REF!*'Unit costs'!$O$44*'Capacity (local prices) 3rd'!$C116</f>
        <v>#REF!</v>
      </c>
      <c r="I114" s="128" t="e">
        <f>I$7*'Inputs and eligible population'!#REF!*'Unit costs'!$O$44*'Capacity (local prices) 3rd'!$C116</f>
        <v>#REF!</v>
      </c>
      <c r="J114" s="295"/>
      <c r="K114" s="295"/>
      <c r="L114" s="223"/>
      <c r="M114" s="223"/>
      <c r="N114" s="295"/>
      <c r="O114" s="223"/>
      <c r="P114" s="223"/>
      <c r="Q114" s="223"/>
      <c r="R114" s="133"/>
      <c r="S114" s="133"/>
      <c r="T114" s="133"/>
      <c r="U114" s="133"/>
      <c r="V114" s="133"/>
      <c r="W114" s="133"/>
      <c r="X114" s="133"/>
      <c r="Y114" s="133"/>
      <c r="Z114" s="133"/>
      <c r="AJ114" s="292"/>
      <c r="AK114" s="292"/>
      <c r="AL114" s="292"/>
      <c r="AM114" s="292"/>
      <c r="AN114" s="292"/>
    </row>
    <row r="115" spans="1:40" hidden="1" x14ac:dyDescent="0.25">
      <c r="A115" s="295"/>
      <c r="B115" s="289"/>
      <c r="C115" s="209"/>
      <c r="D115" s="187" t="e">
        <f t="shared" ref="D115:I115" si="52">SUM(D112:D114)</f>
        <v>#REF!</v>
      </c>
      <c r="E115" s="187" t="e">
        <f t="shared" si="52"/>
        <v>#REF!</v>
      </c>
      <c r="F115" s="187" t="e">
        <f t="shared" si="52"/>
        <v>#REF!</v>
      </c>
      <c r="G115" s="187" t="e">
        <f t="shared" si="52"/>
        <v>#REF!</v>
      </c>
      <c r="H115" s="187" t="e">
        <f t="shared" si="52"/>
        <v>#REF!</v>
      </c>
      <c r="I115" s="187" t="e">
        <f t="shared" si="52"/>
        <v>#REF!</v>
      </c>
      <c r="J115" s="295"/>
      <c r="K115" s="295"/>
      <c r="L115" s="223"/>
      <c r="M115" s="223"/>
      <c r="N115" s="295"/>
      <c r="O115" s="223"/>
      <c r="P115" s="223"/>
      <c r="Q115" s="223"/>
      <c r="V115" s="133"/>
    </row>
    <row r="116" spans="1:40" hidden="1" x14ac:dyDescent="0.25">
      <c r="A116" s="295"/>
      <c r="B116" s="312"/>
      <c r="C116" s="227"/>
      <c r="D116" s="291" t="s">
        <v>185</v>
      </c>
      <c r="E116" s="187" t="e">
        <f>E115-$D$115</f>
        <v>#REF!</v>
      </c>
      <c r="F116" s="187" t="e">
        <f>F115-$D$115</f>
        <v>#REF!</v>
      </c>
      <c r="G116" s="187" t="e">
        <f>G115-$D$115</f>
        <v>#REF!</v>
      </c>
      <c r="H116" s="187" t="e">
        <f>H115-$D$115</f>
        <v>#REF!</v>
      </c>
      <c r="I116" s="187" t="e">
        <f>I115-$D$115</f>
        <v>#REF!</v>
      </c>
      <c r="J116" s="295"/>
      <c r="K116" s="295"/>
      <c r="L116" s="223"/>
      <c r="M116" s="223"/>
      <c r="N116" s="295"/>
      <c r="O116" s="223"/>
      <c r="P116" s="223"/>
      <c r="Q116" s="223"/>
      <c r="V116" s="133"/>
    </row>
    <row r="117" spans="1:40" hidden="1" x14ac:dyDescent="0.25">
      <c r="A117" s="295"/>
      <c r="B117" s="333"/>
      <c r="C117" s="404"/>
      <c r="D117" s="223"/>
      <c r="E117" s="223"/>
      <c r="F117" s="223"/>
      <c r="G117" s="223"/>
      <c r="H117" s="317"/>
      <c r="I117" s="317"/>
      <c r="J117" s="295"/>
      <c r="K117" s="295"/>
      <c r="L117" s="223"/>
      <c r="M117" s="223"/>
      <c r="N117" s="295"/>
      <c r="O117" s="223"/>
      <c r="P117" s="223"/>
      <c r="Q117" s="223"/>
      <c r="V117" s="133"/>
    </row>
    <row r="118" spans="1:40" hidden="1" x14ac:dyDescent="0.25">
      <c r="A118" s="295"/>
      <c r="B118" s="403" t="s">
        <v>770</v>
      </c>
      <c r="C118" s="404"/>
      <c r="D118" s="404"/>
      <c r="E118" s="404"/>
      <c r="F118" s="404"/>
      <c r="G118" s="404"/>
      <c r="H118" s="404"/>
      <c r="I118" s="222"/>
      <c r="J118" s="295"/>
      <c r="K118" s="295"/>
      <c r="L118" s="223"/>
      <c r="M118" s="223"/>
      <c r="N118" s="295"/>
      <c r="O118" s="223"/>
      <c r="P118" s="223"/>
      <c r="Q118" s="223"/>
      <c r="V118" s="133"/>
    </row>
    <row r="119" spans="1:40" ht="75" hidden="1" x14ac:dyDescent="0.25">
      <c r="A119" s="295"/>
      <c r="B119" s="285" t="s">
        <v>131</v>
      </c>
      <c r="C119" s="166" t="s">
        <v>771</v>
      </c>
      <c r="D119" s="434" t="s">
        <v>743</v>
      </c>
      <c r="E119" s="261" t="s">
        <v>51</v>
      </c>
      <c r="F119" s="261" t="s">
        <v>52</v>
      </c>
      <c r="G119" s="165" t="s">
        <v>744</v>
      </c>
      <c r="H119" s="165" t="s">
        <v>745</v>
      </c>
      <c r="I119" s="261" t="s">
        <v>746</v>
      </c>
      <c r="J119" s="295"/>
      <c r="K119" s="295"/>
      <c r="L119" s="223"/>
      <c r="M119" s="223"/>
      <c r="N119" s="295"/>
      <c r="O119" s="223"/>
      <c r="P119" s="223"/>
      <c r="Q119" s="223"/>
      <c r="V119" s="133"/>
    </row>
    <row r="120" spans="1:40" hidden="1" x14ac:dyDescent="0.25">
      <c r="A120" s="295"/>
      <c r="B120" s="358" t="s">
        <v>1181</v>
      </c>
      <c r="C120" s="149">
        <f>'Inputs and eligible population'!F107</f>
        <v>0</v>
      </c>
      <c r="D120" s="128" t="e">
        <f>(D$7*'Inputs and eligible population'!#REF!*'Unit costs'!$O$9*'Capacity (local prices) 3rd'!$C122)/60</f>
        <v>#REF!</v>
      </c>
      <c r="E120" s="128" t="e">
        <f>(E$7*'Inputs and eligible population'!#REF!*'Unit costs'!$O$9*'Capacity (local prices) 3rd'!$C122)/60</f>
        <v>#REF!</v>
      </c>
      <c r="F120" s="128" t="e">
        <f>(F$7*'Inputs and eligible population'!#REF!*'Unit costs'!$O$9*'Capacity (local prices) 3rd'!$C122)/60</f>
        <v>#REF!</v>
      </c>
      <c r="G120" s="128" t="e">
        <f>(G$7*'Inputs and eligible population'!#REF!*'Unit costs'!$O$9*'Capacity (local prices) 3rd'!$C122)/60</f>
        <v>#REF!</v>
      </c>
      <c r="H120" s="128" t="e">
        <f>(H$7*'Inputs and eligible population'!#REF!*'Unit costs'!$O$9*'Capacity (local prices) 3rd'!$C122)/60</f>
        <v>#REF!</v>
      </c>
      <c r="I120" s="128" t="e">
        <f>(I$7*'Inputs and eligible population'!#REF!*'Unit costs'!$O$9*'Capacity (local prices) 3rd'!$C122)/60</f>
        <v>#REF!</v>
      </c>
      <c r="J120" s="295"/>
      <c r="K120" s="295"/>
      <c r="L120" s="223"/>
      <c r="M120" s="223"/>
      <c r="N120" s="295"/>
      <c r="O120" s="223"/>
      <c r="P120" s="223"/>
      <c r="Q120" s="223"/>
      <c r="V120" s="133"/>
    </row>
    <row r="121" spans="1:40" hidden="1" x14ac:dyDescent="0.25">
      <c r="A121" s="295"/>
      <c r="B121" s="358" t="s">
        <v>1182</v>
      </c>
      <c r="C121" s="149">
        <f>'Inputs and eligible population'!H107</f>
        <v>0</v>
      </c>
      <c r="D121" s="128" t="e">
        <f>(D$7*'Inputs and eligible population'!#REF!*'Unit costs'!$O$36*'Capacity (local prices) 3rd'!$C123)/60</f>
        <v>#REF!</v>
      </c>
      <c r="E121" s="128" t="e">
        <f>(E$7*'Inputs and eligible population'!#REF!*'Unit costs'!$O$36*'Capacity (local prices) 3rd'!$C123)/60</f>
        <v>#REF!</v>
      </c>
      <c r="F121" s="128" t="e">
        <f>(F$7*'Inputs and eligible population'!#REF!*'Unit costs'!$O$36*'Capacity (local prices) 3rd'!$C123)/60</f>
        <v>#REF!</v>
      </c>
      <c r="G121" s="128" t="e">
        <f>(G$7*'Inputs and eligible population'!#REF!*'Unit costs'!$O$36*'Capacity (local prices) 3rd'!$C123)/60</f>
        <v>#REF!</v>
      </c>
      <c r="H121" s="128" t="e">
        <f>(H$7*'Inputs and eligible population'!#REF!*'Unit costs'!$O$36*'Capacity (local prices) 3rd'!$C123)/60</f>
        <v>#REF!</v>
      </c>
      <c r="I121" s="128" t="e">
        <f>(I$7*'Inputs and eligible population'!#REF!*'Unit costs'!$O$36*'Capacity (local prices) 3rd'!$C123)/60</f>
        <v>#REF!</v>
      </c>
      <c r="J121" s="295"/>
      <c r="K121" s="295"/>
      <c r="L121" s="223"/>
      <c r="M121" s="223"/>
      <c r="N121" s="295"/>
      <c r="O121" s="223"/>
      <c r="P121" s="223"/>
      <c r="Q121" s="223"/>
      <c r="V121" s="133"/>
    </row>
    <row r="122" spans="1:40" hidden="1" x14ac:dyDescent="0.25">
      <c r="A122" s="295"/>
      <c r="B122" s="358" t="s">
        <v>1183</v>
      </c>
      <c r="C122" s="149">
        <f>'Inputs and eligible population'!I107</f>
        <v>0</v>
      </c>
      <c r="D122" s="128" t="e">
        <f>(D$7*'Inputs and eligible population'!#REF!*'Unit costs'!$O$44*'Capacity (local prices) 3rd'!$C124)/60</f>
        <v>#REF!</v>
      </c>
      <c r="E122" s="128" t="e">
        <f>(E$7*'Inputs and eligible population'!#REF!*'Unit costs'!$O$44*'Capacity (local prices) 3rd'!$C124)/60</f>
        <v>#REF!</v>
      </c>
      <c r="F122" s="128" t="e">
        <f>(F$7*'Inputs and eligible population'!#REF!*'Unit costs'!$O$44*'Capacity (local prices) 3rd'!$C124)/60</f>
        <v>#REF!</v>
      </c>
      <c r="G122" s="128" t="e">
        <f>(G$7*'Inputs and eligible population'!#REF!*'Unit costs'!$O$44*'Capacity (local prices) 3rd'!$C124)/60</f>
        <v>#REF!</v>
      </c>
      <c r="H122" s="128" t="e">
        <f>(H$7*'Inputs and eligible population'!#REF!*'Unit costs'!$O$44*'Capacity (local prices) 3rd'!$C124)/60</f>
        <v>#REF!</v>
      </c>
      <c r="I122" s="128" t="e">
        <f>(I$7*'Inputs and eligible population'!#REF!*'Unit costs'!$O$44*'Capacity (local prices) 3rd'!$C124)/60</f>
        <v>#REF!</v>
      </c>
      <c r="J122" s="295"/>
      <c r="K122" s="295"/>
      <c r="L122" s="223"/>
      <c r="M122" s="223"/>
      <c r="N122" s="295"/>
      <c r="O122" s="223"/>
      <c r="P122" s="223"/>
      <c r="Q122" s="223"/>
      <c r="V122" s="133"/>
    </row>
    <row r="123" spans="1:40" hidden="1" x14ac:dyDescent="0.25">
      <c r="A123" s="295"/>
      <c r="B123" s="289"/>
      <c r="C123" s="209"/>
      <c r="D123" s="187" t="e">
        <f t="shared" ref="D123:I123" si="53">SUM(D120:D122)</f>
        <v>#REF!</v>
      </c>
      <c r="E123" s="187" t="e">
        <f t="shared" si="53"/>
        <v>#REF!</v>
      </c>
      <c r="F123" s="187" t="e">
        <f t="shared" si="53"/>
        <v>#REF!</v>
      </c>
      <c r="G123" s="187" t="e">
        <f t="shared" si="53"/>
        <v>#REF!</v>
      </c>
      <c r="H123" s="187" t="e">
        <f t="shared" si="53"/>
        <v>#REF!</v>
      </c>
      <c r="I123" s="187" t="e">
        <f t="shared" si="53"/>
        <v>#REF!</v>
      </c>
      <c r="J123" s="295"/>
      <c r="K123" s="295"/>
      <c r="L123" s="223"/>
      <c r="M123" s="223"/>
      <c r="N123" s="295"/>
      <c r="O123" s="223"/>
      <c r="P123" s="223"/>
      <c r="Q123" s="223"/>
      <c r="V123" s="133"/>
    </row>
    <row r="124" spans="1:40" hidden="1" x14ac:dyDescent="0.25">
      <c r="A124" s="295"/>
      <c r="B124" s="312"/>
      <c r="C124" s="227"/>
      <c r="D124" s="291" t="s">
        <v>186</v>
      </c>
      <c r="E124" s="187" t="e">
        <f>E123-$D$123</f>
        <v>#REF!</v>
      </c>
      <c r="F124" s="187" t="e">
        <f>F123-$D$123</f>
        <v>#REF!</v>
      </c>
      <c r="G124" s="187" t="e">
        <f>G123-$D$123</f>
        <v>#REF!</v>
      </c>
      <c r="H124" s="187" t="e">
        <f>H123-$D$123</f>
        <v>#REF!</v>
      </c>
      <c r="I124" s="187" t="e">
        <f>I123-$D$123</f>
        <v>#REF!</v>
      </c>
      <c r="J124" s="295"/>
      <c r="K124" s="295"/>
      <c r="L124" s="223"/>
      <c r="M124" s="223"/>
      <c r="N124" s="295"/>
      <c r="O124" s="223"/>
      <c r="P124" s="223"/>
      <c r="Q124" s="223"/>
      <c r="V124" s="133"/>
    </row>
    <row r="125" spans="1:40" hidden="1" x14ac:dyDescent="0.25">
      <c r="A125" s="295"/>
      <c r="B125" s="333"/>
      <c r="C125" s="404"/>
      <c r="D125" s="223"/>
      <c r="E125" s="223"/>
      <c r="F125" s="223"/>
      <c r="G125" s="223"/>
      <c r="H125" s="317"/>
      <c r="I125" s="317"/>
      <c r="J125" s="295"/>
      <c r="K125" s="295"/>
      <c r="L125" s="223"/>
      <c r="M125" s="223"/>
      <c r="N125" s="295"/>
      <c r="O125" s="223"/>
      <c r="P125" s="223"/>
      <c r="Q125" s="223"/>
      <c r="V125" s="133"/>
    </row>
    <row r="126" spans="1:40" hidden="1" x14ac:dyDescent="0.25">
      <c r="A126" s="295"/>
      <c r="B126" s="403" t="s">
        <v>772</v>
      </c>
      <c r="C126" s="404"/>
      <c r="D126" s="404"/>
      <c r="E126" s="404"/>
      <c r="F126" s="404"/>
      <c r="G126" s="404"/>
      <c r="H126" s="404"/>
      <c r="I126" s="222"/>
      <c r="J126" s="295"/>
      <c r="K126" s="295"/>
      <c r="L126" s="223"/>
      <c r="M126" s="223"/>
      <c r="N126" s="295"/>
      <c r="O126" s="223"/>
      <c r="P126" s="223"/>
      <c r="Q126" s="223"/>
      <c r="V126" s="133"/>
    </row>
    <row r="127" spans="1:40" ht="75" hidden="1" x14ac:dyDescent="0.25">
      <c r="A127" s="295"/>
      <c r="B127" s="285" t="s">
        <v>131</v>
      </c>
      <c r="C127" s="166" t="s">
        <v>773</v>
      </c>
      <c r="D127" s="434" t="s">
        <v>743</v>
      </c>
      <c r="E127" s="261" t="s">
        <v>51</v>
      </c>
      <c r="F127" s="261" t="s">
        <v>52</v>
      </c>
      <c r="G127" s="165" t="s">
        <v>744</v>
      </c>
      <c r="H127" s="165" t="s">
        <v>745</v>
      </c>
      <c r="I127" s="261" t="s">
        <v>746</v>
      </c>
      <c r="J127" s="295"/>
      <c r="K127" s="295"/>
      <c r="L127" s="223"/>
      <c r="M127" s="223"/>
      <c r="N127" s="295"/>
      <c r="O127" s="223"/>
      <c r="P127" s="223"/>
      <c r="Q127" s="223"/>
      <c r="V127" s="133"/>
    </row>
    <row r="128" spans="1:40" hidden="1" x14ac:dyDescent="0.25">
      <c r="A128" s="295"/>
      <c r="B128" s="358" t="s">
        <v>1181</v>
      </c>
      <c r="C128" s="149">
        <f>'Inputs and eligible population'!F108</f>
        <v>0</v>
      </c>
      <c r="D128" s="128" t="e">
        <f>(D$7*'Inputs and eligible population'!#REF!*'Unit costs'!$O$9*'Capacity (local prices) 3rd'!$C130)/60</f>
        <v>#REF!</v>
      </c>
      <c r="E128" s="128" t="e">
        <f>(E$7*'Inputs and eligible population'!#REF!*'Unit costs'!$O$9*'Capacity (local prices) 3rd'!$C130)/60</f>
        <v>#REF!</v>
      </c>
      <c r="F128" s="128" t="e">
        <f>(F$7*'Inputs and eligible population'!#REF!*'Unit costs'!$O$9*'Capacity (local prices) 3rd'!$C130)/60</f>
        <v>#REF!</v>
      </c>
      <c r="G128" s="128" t="e">
        <f>(G$7*'Inputs and eligible population'!#REF!*'Unit costs'!$O$9*'Capacity (local prices) 3rd'!$C130)/60</f>
        <v>#REF!</v>
      </c>
      <c r="H128" s="128" t="e">
        <f>(H$7*'Inputs and eligible population'!#REF!*'Unit costs'!$O$9*'Capacity (local prices) 3rd'!$C130)/60</f>
        <v>#REF!</v>
      </c>
      <c r="I128" s="128" t="e">
        <f>(I$7*'Inputs and eligible population'!#REF!*'Unit costs'!$O$9*'Capacity (local prices) 3rd'!$C130)/60</f>
        <v>#REF!</v>
      </c>
      <c r="J128" s="295"/>
      <c r="K128" s="295"/>
      <c r="L128" s="223"/>
      <c r="M128" s="223"/>
      <c r="N128" s="295"/>
      <c r="O128" s="223"/>
      <c r="P128" s="223"/>
      <c r="Q128" s="223"/>
      <c r="V128" s="133"/>
    </row>
    <row r="129" spans="1:40" hidden="1" x14ac:dyDescent="0.25">
      <c r="A129" s="295"/>
      <c r="B129" s="358" t="s">
        <v>1182</v>
      </c>
      <c r="C129" s="149">
        <f>'Inputs and eligible population'!H108</f>
        <v>0</v>
      </c>
      <c r="D129" s="128" t="e">
        <f>(D$7*'Inputs and eligible population'!#REF!*'Unit costs'!$O$36*'Capacity (local prices) 3rd'!$C131)/60</f>
        <v>#REF!</v>
      </c>
      <c r="E129" s="128" t="e">
        <f>(E$7*'Inputs and eligible population'!#REF!*'Unit costs'!$O$36*'Capacity (local prices) 3rd'!$C131)/60</f>
        <v>#REF!</v>
      </c>
      <c r="F129" s="128" t="e">
        <f>(F$7*'Inputs and eligible population'!#REF!*'Unit costs'!$O$36*'Capacity (local prices) 3rd'!$C131)/60</f>
        <v>#REF!</v>
      </c>
      <c r="G129" s="128" t="e">
        <f>(G$7*'Inputs and eligible population'!#REF!*'Unit costs'!$O$36*'Capacity (local prices) 3rd'!$C131)/60</f>
        <v>#REF!</v>
      </c>
      <c r="H129" s="128" t="e">
        <f>(H$7*'Inputs and eligible population'!#REF!*'Unit costs'!$O$36*'Capacity (local prices) 3rd'!$C131)/60</f>
        <v>#REF!</v>
      </c>
      <c r="I129" s="128" t="e">
        <f>(I$7*'Inputs and eligible population'!#REF!*'Unit costs'!$O$36*'Capacity (local prices) 3rd'!$C131)/60</f>
        <v>#REF!</v>
      </c>
      <c r="J129" s="295"/>
      <c r="K129" s="295"/>
      <c r="L129" s="223"/>
      <c r="M129" s="223"/>
      <c r="N129" s="295"/>
      <c r="O129" s="223"/>
      <c r="P129" s="223"/>
      <c r="Q129" s="223"/>
      <c r="V129" s="133"/>
    </row>
    <row r="130" spans="1:40" hidden="1" x14ac:dyDescent="0.25">
      <c r="A130" s="295"/>
      <c r="B130" s="358" t="s">
        <v>1183</v>
      </c>
      <c r="C130" s="149">
        <f>'Inputs and eligible population'!I108</f>
        <v>0</v>
      </c>
      <c r="D130" s="128" t="e">
        <f>(D$7*'Inputs and eligible population'!#REF!*'Unit costs'!$O$44*'Capacity (local prices) 3rd'!$C132)/60</f>
        <v>#REF!</v>
      </c>
      <c r="E130" s="128" t="e">
        <f>(E$7*'Inputs and eligible population'!#REF!*'Unit costs'!$O$44*'Capacity (local prices) 3rd'!$C132)/60</f>
        <v>#REF!</v>
      </c>
      <c r="F130" s="128" t="e">
        <f>(F$7*'Inputs and eligible population'!#REF!*'Unit costs'!$O$44*'Capacity (local prices) 3rd'!$C132)/60</f>
        <v>#REF!</v>
      </c>
      <c r="G130" s="128" t="e">
        <f>(G$7*'Inputs and eligible population'!#REF!*'Unit costs'!$O$44*'Capacity (local prices) 3rd'!$C132)/60</f>
        <v>#REF!</v>
      </c>
      <c r="H130" s="128" t="e">
        <f>(H$7*'Inputs and eligible population'!#REF!*'Unit costs'!$O$44*'Capacity (local prices) 3rd'!$C132)/60</f>
        <v>#REF!</v>
      </c>
      <c r="I130" s="128" t="e">
        <f>(I$7*'Inputs and eligible population'!#REF!*'Unit costs'!$O$44*'Capacity (local prices) 3rd'!$C132)/60</f>
        <v>#REF!</v>
      </c>
      <c r="J130" s="295"/>
      <c r="K130" s="295"/>
      <c r="L130" s="223"/>
      <c r="M130" s="223"/>
      <c r="N130" s="295"/>
      <c r="O130" s="223"/>
      <c r="P130" s="223"/>
      <c r="Q130" s="223"/>
      <c r="V130" s="133"/>
    </row>
    <row r="131" spans="1:40" hidden="1" x14ac:dyDescent="0.25">
      <c r="A131" s="295"/>
      <c r="B131" s="289"/>
      <c r="C131" s="209"/>
      <c r="D131" s="187" t="e">
        <f t="shared" ref="D131:I131" si="54">SUM(D128:D130)</f>
        <v>#REF!</v>
      </c>
      <c r="E131" s="187" t="e">
        <f t="shared" si="54"/>
        <v>#REF!</v>
      </c>
      <c r="F131" s="187" t="e">
        <f t="shared" si="54"/>
        <v>#REF!</v>
      </c>
      <c r="G131" s="187" t="e">
        <f t="shared" si="54"/>
        <v>#REF!</v>
      </c>
      <c r="H131" s="187" t="e">
        <f t="shared" si="54"/>
        <v>#REF!</v>
      </c>
      <c r="I131" s="187" t="e">
        <f t="shared" si="54"/>
        <v>#REF!</v>
      </c>
      <c r="J131" s="295"/>
      <c r="K131" s="295"/>
      <c r="L131" s="223"/>
      <c r="M131" s="223"/>
      <c r="N131" s="295"/>
      <c r="O131" s="223"/>
      <c r="P131" s="223"/>
      <c r="Q131" s="223"/>
      <c r="V131" s="133"/>
    </row>
    <row r="132" spans="1:40" hidden="1" x14ac:dyDescent="0.25">
      <c r="A132" s="295"/>
      <c r="B132" s="312"/>
      <c r="C132" s="227"/>
      <c r="D132" s="291" t="s">
        <v>187</v>
      </c>
      <c r="E132" s="187" t="e">
        <f>E131-$D$131</f>
        <v>#REF!</v>
      </c>
      <c r="F132" s="187" t="e">
        <f>F131-$D$131</f>
        <v>#REF!</v>
      </c>
      <c r="G132" s="187" t="e">
        <f>G131-$D$131</f>
        <v>#REF!</v>
      </c>
      <c r="H132" s="187" t="e">
        <f>H131-$D$131</f>
        <v>#REF!</v>
      </c>
      <c r="I132" s="187" t="e">
        <f>I131-$D$131</f>
        <v>#REF!</v>
      </c>
      <c r="J132" s="295"/>
      <c r="K132" s="295"/>
      <c r="L132" s="223"/>
      <c r="M132" s="223"/>
      <c r="N132" s="295"/>
      <c r="O132" s="223"/>
      <c r="P132" s="223"/>
      <c r="Q132" s="223"/>
      <c r="V132" s="133"/>
    </row>
    <row r="133" spans="1:40" hidden="1" x14ac:dyDescent="0.25">
      <c r="A133" s="295"/>
      <c r="B133" s="333"/>
      <c r="C133" s="404"/>
      <c r="D133" s="223"/>
      <c r="E133" s="223"/>
      <c r="F133" s="223"/>
      <c r="G133" s="223"/>
      <c r="H133" s="317"/>
      <c r="I133" s="317"/>
      <c r="J133" s="295"/>
      <c r="K133" s="295"/>
      <c r="L133" s="223"/>
      <c r="M133" s="223"/>
      <c r="N133" s="295"/>
      <c r="O133" s="223"/>
      <c r="P133" s="223"/>
      <c r="Q133" s="223"/>
      <c r="V133" s="133"/>
    </row>
    <row r="134" spans="1:40" x14ac:dyDescent="0.25">
      <c r="A134" s="295"/>
      <c r="B134" s="403" t="s">
        <v>1315</v>
      </c>
      <c r="C134" s="404"/>
      <c r="D134" s="404"/>
      <c r="E134" s="404"/>
      <c r="F134" s="404"/>
      <c r="G134" s="404"/>
      <c r="H134" s="404"/>
      <c r="I134" s="222"/>
      <c r="J134" s="295"/>
      <c r="K134" s="295"/>
      <c r="L134" s="223"/>
      <c r="M134" s="223"/>
      <c r="N134" s="295"/>
      <c r="O134" s="223"/>
      <c r="P134" s="223"/>
      <c r="Q134" s="223"/>
      <c r="V134" s="133"/>
    </row>
    <row r="135" spans="1:40" ht="45" x14ac:dyDescent="0.25">
      <c r="A135" s="295"/>
      <c r="B135" s="285" t="s">
        <v>131</v>
      </c>
      <c r="C135" s="166" t="s">
        <v>96</v>
      </c>
      <c r="D135" s="434" t="s">
        <v>743</v>
      </c>
      <c r="E135" s="261" t="s">
        <v>51</v>
      </c>
      <c r="F135" s="261" t="s">
        <v>52</v>
      </c>
      <c r="G135" s="165" t="s">
        <v>744</v>
      </c>
      <c r="H135" s="165" t="s">
        <v>745</v>
      </c>
      <c r="I135" s="261" t="s">
        <v>746</v>
      </c>
      <c r="J135" s="295"/>
      <c r="K135" s="295"/>
      <c r="L135" s="223"/>
      <c r="M135" s="223"/>
      <c r="N135" s="295"/>
      <c r="O135" s="223"/>
      <c r="P135" s="223"/>
      <c r="Q135" s="223"/>
      <c r="V135" s="133"/>
    </row>
    <row r="136" spans="1:40" x14ac:dyDescent="0.25">
      <c r="A136" s="295"/>
      <c r="B136" s="358" t="s">
        <v>1181</v>
      </c>
      <c r="C136" s="149">
        <f>'Inputs and eligible population'!K109</f>
        <v>0</v>
      </c>
      <c r="D136" s="128">
        <f>($C136*'Financial impact (cash)'!D39)/60</f>
        <v>0</v>
      </c>
      <c r="E136" s="128">
        <f>($C136*'Financial impact (cash)'!E39)/60</f>
        <v>0</v>
      </c>
      <c r="F136" s="128">
        <f>($C136*'Financial impact (cash)'!F39)/60</f>
        <v>0</v>
      </c>
      <c r="G136" s="128">
        <f>($C136*'Financial impact (cash)'!G39)/60</f>
        <v>0</v>
      </c>
      <c r="H136" s="128">
        <f>($C136*'Financial impact (cash)'!H39)/60</f>
        <v>0</v>
      </c>
      <c r="I136" s="128">
        <f>($C136*'Financial impact (cash)'!I39)/60</f>
        <v>0</v>
      </c>
      <c r="J136" s="295"/>
      <c r="K136" s="295"/>
      <c r="L136" s="223"/>
      <c r="M136" s="223"/>
      <c r="N136" s="295"/>
      <c r="O136" s="223"/>
      <c r="P136" s="223"/>
      <c r="Q136" s="223"/>
      <c r="V136" s="133"/>
    </row>
    <row r="137" spans="1:40" x14ac:dyDescent="0.25">
      <c r="A137" s="295"/>
      <c r="B137" s="358" t="s">
        <v>1182</v>
      </c>
      <c r="C137" s="149">
        <f>'Inputs and eligible population'!L109</f>
        <v>0</v>
      </c>
      <c r="D137" s="128">
        <f>($C137*'Financial impact (cash)'!D40)/60</f>
        <v>0</v>
      </c>
      <c r="E137" s="128">
        <f>($C137*'Financial impact (cash)'!E40)/60</f>
        <v>0</v>
      </c>
      <c r="F137" s="128">
        <f>($C137*'Financial impact (cash)'!F40)/60</f>
        <v>0</v>
      </c>
      <c r="G137" s="128">
        <f>($C137*'Financial impact (cash)'!G40)/60</f>
        <v>0</v>
      </c>
      <c r="H137" s="128">
        <f>($C137*'Financial impact (cash)'!H40)/60</f>
        <v>0</v>
      </c>
      <c r="I137" s="128">
        <f>($C137*'Financial impact (cash)'!I40)/60</f>
        <v>0</v>
      </c>
      <c r="J137" s="295"/>
      <c r="K137" s="295"/>
      <c r="L137" s="223"/>
      <c r="M137" s="223"/>
      <c r="N137" s="295"/>
      <c r="O137" s="223"/>
      <c r="P137" s="223"/>
      <c r="Q137" s="223"/>
      <c r="V137" s="133"/>
    </row>
    <row r="138" spans="1:40" x14ac:dyDescent="0.25">
      <c r="A138" s="295"/>
      <c r="B138" s="358" t="s">
        <v>1183</v>
      </c>
      <c r="C138" s="149">
        <f>'Inputs and eligible population'!M109</f>
        <v>0</v>
      </c>
      <c r="D138" s="128">
        <f>($C138*'Financial impact (cash)'!D41)/60</f>
        <v>0</v>
      </c>
      <c r="E138" s="128">
        <f>($C138*'Financial impact (cash)'!E41)/60</f>
        <v>0</v>
      </c>
      <c r="F138" s="128">
        <f>($C138*'Financial impact (cash)'!F41)/60</f>
        <v>0</v>
      </c>
      <c r="G138" s="128">
        <f>($C138*'Financial impact (cash)'!G41)/60</f>
        <v>0</v>
      </c>
      <c r="H138" s="128">
        <f>($C138*'Financial impact (cash)'!H41)/60</f>
        <v>0</v>
      </c>
      <c r="I138" s="128">
        <f>($C138*'Financial impact (cash)'!I41)/60</f>
        <v>0</v>
      </c>
      <c r="J138" s="295"/>
      <c r="K138" s="295"/>
      <c r="L138" s="223"/>
      <c r="M138" s="223"/>
      <c r="N138" s="295"/>
      <c r="O138" s="223"/>
      <c r="P138" s="223"/>
      <c r="Q138" s="223"/>
      <c r="V138" s="133"/>
    </row>
    <row r="139" spans="1:40" x14ac:dyDescent="0.25">
      <c r="A139" s="295"/>
      <c r="B139" s="358"/>
      <c r="C139" s="149">
        <f>'Inputs and eligible population'!N109</f>
        <v>0</v>
      </c>
      <c r="D139" s="128">
        <f>($C139*'Financial impact (cash)'!D42)/60</f>
        <v>0</v>
      </c>
      <c r="E139" s="128">
        <f>($C139*'Financial impact (cash)'!E42)/60</f>
        <v>0</v>
      </c>
      <c r="F139" s="128">
        <f>($C139*'Financial impact (cash)'!F42)/60</f>
        <v>0</v>
      </c>
      <c r="G139" s="128">
        <f>($C139*'Financial impact (cash)'!G42)/60</f>
        <v>0</v>
      </c>
      <c r="H139" s="128">
        <f>($C139*'Financial impact (cash)'!H42)/60</f>
        <v>0</v>
      </c>
      <c r="I139" s="128">
        <f>($C139*'Financial impact (cash)'!I42)/60</f>
        <v>0</v>
      </c>
      <c r="J139" s="295"/>
      <c r="K139" s="295"/>
      <c r="L139" s="223"/>
      <c r="M139" s="223"/>
      <c r="N139" s="295"/>
      <c r="O139" s="223"/>
      <c r="P139" s="223"/>
      <c r="Q139" s="223"/>
      <c r="V139" s="133"/>
    </row>
    <row r="140" spans="1:40" x14ac:dyDescent="0.25">
      <c r="A140" s="295"/>
      <c r="B140" s="289"/>
      <c r="C140" s="209"/>
      <c r="D140" s="187">
        <f t="shared" ref="D140:I140" si="55">SUM(D136:D138)</f>
        <v>0</v>
      </c>
      <c r="E140" s="187">
        <f t="shared" si="55"/>
        <v>0</v>
      </c>
      <c r="F140" s="187">
        <f t="shared" si="55"/>
        <v>0</v>
      </c>
      <c r="G140" s="187">
        <f t="shared" si="55"/>
        <v>0</v>
      </c>
      <c r="H140" s="187">
        <f t="shared" si="55"/>
        <v>0</v>
      </c>
      <c r="I140" s="187">
        <f t="shared" si="55"/>
        <v>0</v>
      </c>
      <c r="J140" s="295"/>
      <c r="K140" s="295"/>
      <c r="L140" s="223"/>
      <c r="M140" s="223"/>
      <c r="N140" s="295"/>
      <c r="O140" s="223"/>
      <c r="P140" s="223"/>
      <c r="Q140" s="223"/>
      <c r="V140" s="133"/>
    </row>
    <row r="141" spans="1:40" x14ac:dyDescent="0.25">
      <c r="A141" s="295"/>
      <c r="B141" s="312"/>
      <c r="C141" s="227"/>
      <c r="D141" s="291" t="s">
        <v>188</v>
      </c>
      <c r="E141" s="187">
        <f>E140-$D$140</f>
        <v>0</v>
      </c>
      <c r="F141" s="187">
        <f>F140-$D$140</f>
        <v>0</v>
      </c>
      <c r="G141" s="187">
        <f>G140-$D$140</f>
        <v>0</v>
      </c>
      <c r="H141" s="187">
        <f>H140-$D$140</f>
        <v>0</v>
      </c>
      <c r="I141" s="187">
        <f>I140-$D$140</f>
        <v>0</v>
      </c>
      <c r="J141" s="295"/>
      <c r="K141" s="295"/>
      <c r="L141" s="223"/>
      <c r="M141" s="223"/>
      <c r="N141" s="295"/>
      <c r="O141" s="223"/>
      <c r="P141" s="223"/>
      <c r="Q141" s="223"/>
      <c r="V141" s="133"/>
    </row>
    <row r="142" spans="1:40" x14ac:dyDescent="0.25">
      <c r="A142" s="295"/>
      <c r="B142" s="333"/>
      <c r="C142" s="404"/>
      <c r="D142" s="223"/>
      <c r="E142" s="223"/>
      <c r="F142" s="223"/>
      <c r="G142" s="223"/>
      <c r="H142" s="223"/>
      <c r="I142" s="223"/>
      <c r="J142" s="223"/>
      <c r="K142" s="223"/>
      <c r="L142" s="223"/>
      <c r="M142" s="223"/>
      <c r="N142" s="295"/>
      <c r="O142" s="223"/>
      <c r="P142" s="223"/>
      <c r="Q142" s="223"/>
      <c r="R142" s="133"/>
      <c r="S142" s="133"/>
      <c r="T142" s="133"/>
      <c r="U142" s="133"/>
      <c r="V142" s="133"/>
      <c r="W142" s="133"/>
      <c r="X142" s="133"/>
      <c r="Y142" s="133"/>
      <c r="Z142" s="133"/>
      <c r="AJ142" s="292"/>
      <c r="AK142" s="292"/>
      <c r="AL142" s="292"/>
      <c r="AM142" s="292"/>
      <c r="AN142" s="292"/>
    </row>
    <row r="143" spans="1:40" x14ac:dyDescent="0.25">
      <c r="A143" s="338"/>
      <c r="B143" s="339" t="s">
        <v>774</v>
      </c>
      <c r="C143" s="340"/>
      <c r="D143" s="340"/>
      <c r="E143" s="341"/>
      <c r="F143" s="342"/>
      <c r="G143" s="343"/>
      <c r="H143" s="343"/>
      <c r="I143" s="397"/>
      <c r="J143" s="338"/>
      <c r="K143" s="338"/>
      <c r="L143" s="338"/>
      <c r="M143" s="338"/>
      <c r="N143" s="338"/>
      <c r="O143" s="338"/>
      <c r="P143" s="338"/>
      <c r="Q143" s="418"/>
      <c r="R143" s="133"/>
      <c r="S143" s="133"/>
      <c r="T143" s="133"/>
      <c r="U143" s="133"/>
      <c r="V143" s="133"/>
      <c r="W143" s="133"/>
      <c r="X143" s="133"/>
      <c r="Y143" s="133"/>
      <c r="Z143" s="133"/>
      <c r="AJ143" s="292"/>
      <c r="AK143" s="292"/>
      <c r="AL143" s="292"/>
      <c r="AM143" s="292"/>
      <c r="AN143" s="292"/>
    </row>
    <row r="144" spans="1:40" x14ac:dyDescent="0.25">
      <c r="A144" s="338"/>
      <c r="B144" s="407" t="s">
        <v>100</v>
      </c>
      <c r="C144" s="408"/>
      <c r="D144" s="408"/>
      <c r="E144" s="408"/>
      <c r="F144" s="408"/>
      <c r="G144" s="408"/>
      <c r="H144" s="408"/>
      <c r="I144" s="344"/>
      <c r="J144" s="418"/>
      <c r="K144" s="418"/>
      <c r="L144" s="446"/>
      <c r="M144" s="446"/>
      <c r="N144" s="446"/>
      <c r="O144" s="446"/>
      <c r="P144" s="446"/>
      <c r="Q144" s="446"/>
      <c r="R144" s="133"/>
      <c r="S144" s="133"/>
      <c r="T144" s="133"/>
      <c r="U144" s="133"/>
      <c r="V144" s="133"/>
      <c r="W144" s="133"/>
      <c r="X144" s="133"/>
      <c r="Y144" s="133"/>
      <c r="Z144" s="133"/>
      <c r="AJ144" s="292"/>
      <c r="AK144" s="292"/>
      <c r="AL144" s="292"/>
      <c r="AM144" s="292"/>
      <c r="AN144" s="292"/>
    </row>
    <row r="145" spans="1:40" ht="45" x14ac:dyDescent="0.25">
      <c r="A145" s="338"/>
      <c r="B145" s="285" t="s">
        <v>131</v>
      </c>
      <c r="C145" s="166" t="s">
        <v>100</v>
      </c>
      <c r="D145" s="434" t="s">
        <v>743</v>
      </c>
      <c r="E145" s="261" t="s">
        <v>51</v>
      </c>
      <c r="F145" s="261" t="s">
        <v>52</v>
      </c>
      <c r="G145" s="165" t="s">
        <v>744</v>
      </c>
      <c r="H145" s="165" t="s">
        <v>745</v>
      </c>
      <c r="I145" s="261" t="s">
        <v>746</v>
      </c>
      <c r="J145" s="338"/>
      <c r="K145" s="746" t="s">
        <v>1252</v>
      </c>
      <c r="L145" s="434" t="s">
        <v>743</v>
      </c>
      <c r="M145" s="261" t="s">
        <v>51</v>
      </c>
      <c r="N145" s="261" t="s">
        <v>52</v>
      </c>
      <c r="O145" s="165" t="s">
        <v>744</v>
      </c>
      <c r="P145" s="165" t="s">
        <v>745</v>
      </c>
      <c r="Q145" s="261" t="s">
        <v>746</v>
      </c>
      <c r="R145" s="133"/>
      <c r="S145" s="133"/>
      <c r="T145" s="133"/>
      <c r="U145" s="133"/>
      <c r="V145" s="133"/>
      <c r="W145" s="133"/>
      <c r="X145" s="133"/>
      <c r="Y145" s="133"/>
      <c r="Z145" s="133"/>
      <c r="AJ145" s="292"/>
      <c r="AK145" s="292"/>
      <c r="AL145" s="292"/>
      <c r="AM145" s="292"/>
      <c r="AN145" s="292"/>
    </row>
    <row r="146" spans="1:40" x14ac:dyDescent="0.25">
      <c r="A146" s="338"/>
      <c r="B146" s="358" t="s">
        <v>1247</v>
      </c>
      <c r="C146" s="149">
        <f>'Inputs and eligible population'!F110</f>
        <v>0</v>
      </c>
      <c r="D146" s="128">
        <f>'Financial impact (cash)'!D$39*'Capacity (local prices) 3rd'!$C148</f>
        <v>0</v>
      </c>
      <c r="E146" s="128">
        <f>'Financial impact (cash)'!E$39*'Capacity (local prices) 3rd'!$C148</f>
        <v>0</v>
      </c>
      <c r="F146" s="128">
        <f>'Financial impact (cash)'!F$39*'Capacity (local prices) 3rd'!$C148</f>
        <v>0</v>
      </c>
      <c r="G146" s="128">
        <f>'Financial impact (cash)'!G$39*'Capacity (local prices) 3rd'!$C148</f>
        <v>0</v>
      </c>
      <c r="H146" s="128">
        <f>'Financial impact (cash)'!H$39*'Capacity (local prices) 3rd'!$C148</f>
        <v>0</v>
      </c>
      <c r="I146" s="128">
        <f>'Financial impact (cash)'!I$39*'Capacity (local prices) 3rd'!$C148</f>
        <v>0</v>
      </c>
      <c r="J146" s="338"/>
      <c r="K146" s="747">
        <f>'Unit costs'!$N$130</f>
        <v>0</v>
      </c>
      <c r="L146" s="299">
        <f>(D146*'Unit costs'!$N$130)/1000</f>
        <v>0</v>
      </c>
      <c r="M146" s="299">
        <f>(E146*'Unit costs'!$N$130)/1000</f>
        <v>0</v>
      </c>
      <c r="N146" s="299">
        <f>(F146*'Unit costs'!$N$130)/1000</f>
        <v>0</v>
      </c>
      <c r="O146" s="299">
        <f>(G146*'Unit costs'!$N$130)/1000</f>
        <v>0</v>
      </c>
      <c r="P146" s="299">
        <f>(H146*'Unit costs'!$N$130)/1000</f>
        <v>0</v>
      </c>
      <c r="Q146" s="299">
        <f>(I146*'Unit costs'!$N$130)/1000</f>
        <v>0</v>
      </c>
      <c r="R146" s="133"/>
      <c r="S146" s="133"/>
      <c r="T146" s="133"/>
      <c r="U146" s="133"/>
      <c r="V146" s="133"/>
      <c r="W146" s="133"/>
      <c r="X146" s="133"/>
      <c r="Y146" s="133"/>
      <c r="Z146" s="133"/>
      <c r="AJ146" s="292"/>
      <c r="AK146" s="292"/>
      <c r="AL146" s="292"/>
      <c r="AM146" s="292"/>
      <c r="AN146" s="292"/>
    </row>
    <row r="147" spans="1:40" x14ac:dyDescent="0.25">
      <c r="A147" s="338"/>
      <c r="B147" s="358" t="s">
        <v>1125</v>
      </c>
      <c r="C147" s="149">
        <f>'Inputs and eligible population'!G110</f>
        <v>0</v>
      </c>
      <c r="D147" s="128">
        <f>'Financial impact (cash)'!D$40*'Capacity (local prices) 3rd'!$C149</f>
        <v>0</v>
      </c>
      <c r="E147" s="128">
        <f>'Financial impact (cash)'!E$40*'Capacity (local prices) 3rd'!$C149</f>
        <v>0</v>
      </c>
      <c r="F147" s="128">
        <f>'Financial impact (cash)'!F$40*'Capacity (local prices) 3rd'!$C149</f>
        <v>0</v>
      </c>
      <c r="G147" s="128">
        <f>'Financial impact (cash)'!G$40*'Capacity (local prices) 3rd'!$C149</f>
        <v>0</v>
      </c>
      <c r="H147" s="128">
        <f>'Financial impact (cash)'!H$40*'Capacity (local prices) 3rd'!$C149</f>
        <v>0</v>
      </c>
      <c r="I147" s="128">
        <f>'Financial impact (cash)'!I$40*'Capacity (local prices) 3rd'!$C149</f>
        <v>0</v>
      </c>
      <c r="J147" s="338"/>
      <c r="K147" s="747">
        <f>'Unit costs'!$N$130</f>
        <v>0</v>
      </c>
      <c r="L147" s="299">
        <f>(D147*'Unit costs'!$N$130)/1000</f>
        <v>0</v>
      </c>
      <c r="M147" s="299">
        <f>(E147*'Unit costs'!$N$130)/1000</f>
        <v>0</v>
      </c>
      <c r="N147" s="299">
        <f>(F147*'Unit costs'!$N$130)/1000</f>
        <v>0</v>
      </c>
      <c r="O147" s="299">
        <f>(G147*'Unit costs'!$N$130)/1000</f>
        <v>0</v>
      </c>
      <c r="P147" s="299">
        <f>(H147*'Unit costs'!$N$130)/1000</f>
        <v>0</v>
      </c>
      <c r="Q147" s="299">
        <f>(I147*'Unit costs'!$N$130)/1000</f>
        <v>0</v>
      </c>
      <c r="R147" s="133"/>
      <c r="S147" s="133"/>
      <c r="T147" s="133"/>
      <c r="U147" s="133"/>
      <c r="V147" s="133"/>
      <c r="W147" s="133"/>
      <c r="X147" s="133"/>
      <c r="Y147" s="133"/>
      <c r="Z147" s="133"/>
      <c r="AJ147" s="292"/>
      <c r="AK147" s="292"/>
      <c r="AL147" s="292"/>
      <c r="AM147" s="292"/>
      <c r="AN147" s="292"/>
    </row>
    <row r="148" spans="1:40" x14ac:dyDescent="0.25">
      <c r="A148" s="338"/>
      <c r="B148" s="358" t="s">
        <v>1248</v>
      </c>
      <c r="C148" s="149">
        <f>'Inputs and eligible population'!H110</f>
        <v>0</v>
      </c>
      <c r="D148" s="128">
        <f>'Financial impact (cash)'!D$41*'Capacity (local prices) 3rd'!$C150</f>
        <v>0</v>
      </c>
      <c r="E148" s="128">
        <f>'Financial impact (cash)'!E$41*'Capacity (local prices) 3rd'!$C150</f>
        <v>0</v>
      </c>
      <c r="F148" s="128">
        <f>'Financial impact (cash)'!F$41*'Capacity (local prices) 3rd'!$C150</f>
        <v>0</v>
      </c>
      <c r="G148" s="128">
        <f>'Financial impact (cash)'!G$41*'Capacity (local prices) 3rd'!$C150</f>
        <v>0</v>
      </c>
      <c r="H148" s="128">
        <f>'Financial impact (cash)'!H$41*'Capacity (local prices) 3rd'!$C150</f>
        <v>0</v>
      </c>
      <c r="I148" s="128">
        <f>'Financial impact (cash)'!I$41*'Capacity (local prices) 3rd'!$C150</f>
        <v>0</v>
      </c>
      <c r="J148" s="338"/>
      <c r="K148" s="747">
        <f>'Unit costs'!$N$130</f>
        <v>0</v>
      </c>
      <c r="L148" s="299">
        <f>(D148*'Unit costs'!$N$130)/1000</f>
        <v>0</v>
      </c>
      <c r="M148" s="299">
        <f>(E148*'Unit costs'!$N$130)/1000</f>
        <v>0</v>
      </c>
      <c r="N148" s="299">
        <f>(F148*'Unit costs'!$N$130)/1000</f>
        <v>0</v>
      </c>
      <c r="O148" s="299">
        <f>(G148*'Unit costs'!$N$130)/1000</f>
        <v>0</v>
      </c>
      <c r="P148" s="299">
        <f>(H148*'Unit costs'!$N$130)/1000</f>
        <v>0</v>
      </c>
      <c r="Q148" s="299">
        <f>(I148*'Unit costs'!$N$130)/1000</f>
        <v>0</v>
      </c>
      <c r="R148" s="133"/>
      <c r="S148" s="133"/>
      <c r="T148" s="133"/>
      <c r="U148" s="133"/>
      <c r="V148" s="133"/>
      <c r="W148" s="133"/>
      <c r="X148" s="133"/>
      <c r="Y148" s="133"/>
      <c r="Z148" s="133"/>
      <c r="AJ148" s="292"/>
      <c r="AK148" s="292"/>
      <c r="AL148" s="292"/>
      <c r="AM148" s="292"/>
      <c r="AN148" s="292"/>
    </row>
    <row r="149" spans="1:40" x14ac:dyDescent="0.25">
      <c r="A149" s="338"/>
      <c r="B149" s="358" t="s">
        <v>1251</v>
      </c>
      <c r="C149" s="149">
        <f>'Inputs and eligible population'!I110</f>
        <v>0</v>
      </c>
      <c r="D149" s="128">
        <f>'Financial impact (cash)'!D$42*'Capacity (local prices) 3rd'!$C151</f>
        <v>0</v>
      </c>
      <c r="E149" s="128">
        <f>'Financial impact (cash)'!E$42*'Capacity (local prices) 3rd'!$C151</f>
        <v>0</v>
      </c>
      <c r="F149" s="128">
        <f>'Financial impact (cash)'!F$42*'Capacity (local prices) 3rd'!$C151</f>
        <v>0</v>
      </c>
      <c r="G149" s="128">
        <f>'Financial impact (cash)'!G$42*'Capacity (local prices) 3rd'!$C151</f>
        <v>0</v>
      </c>
      <c r="H149" s="128">
        <f>'Financial impact (cash)'!H$42*'Capacity (local prices) 3rd'!$C151</f>
        <v>0</v>
      </c>
      <c r="I149" s="128">
        <f>'Financial impact (cash)'!I$42*'Capacity (local prices) 3rd'!$C151</f>
        <v>0</v>
      </c>
      <c r="J149" s="338"/>
      <c r="K149" s="747">
        <f>'Unit costs'!$N$130</f>
        <v>0</v>
      </c>
      <c r="L149" s="299">
        <f>(D149*'Unit costs'!$N$130)/1000</f>
        <v>0</v>
      </c>
      <c r="M149" s="299">
        <f>(E149*'Unit costs'!$N$130)/1000</f>
        <v>0</v>
      </c>
      <c r="N149" s="299">
        <f>(F149*'Unit costs'!$N$130)/1000</f>
        <v>0</v>
      </c>
      <c r="O149" s="299">
        <f>(G149*'Unit costs'!$N$130)/1000</f>
        <v>0</v>
      </c>
      <c r="P149" s="299">
        <f>(H149*'Unit costs'!$N$130)/1000</f>
        <v>0</v>
      </c>
      <c r="Q149" s="299">
        <f>(I149*'Unit costs'!$N$130)/1000</f>
        <v>0</v>
      </c>
      <c r="R149" s="133"/>
      <c r="S149" s="133"/>
      <c r="T149" s="133"/>
      <c r="U149" s="133"/>
      <c r="V149" s="133"/>
      <c r="W149" s="133"/>
      <c r="X149" s="133"/>
      <c r="Y149" s="133"/>
      <c r="Z149" s="133"/>
      <c r="AJ149" s="292"/>
      <c r="AK149" s="292"/>
      <c r="AL149" s="292"/>
      <c r="AM149" s="292"/>
      <c r="AN149" s="292"/>
    </row>
    <row r="150" spans="1:40" x14ac:dyDescent="0.25">
      <c r="A150" s="338"/>
      <c r="B150" s="289"/>
      <c r="C150" s="209"/>
      <c r="D150" s="187">
        <f t="shared" ref="D150:I150" si="56">SUM(D146:D149)</f>
        <v>0</v>
      </c>
      <c r="E150" s="187">
        <f t="shared" si="56"/>
        <v>0</v>
      </c>
      <c r="F150" s="187">
        <f t="shared" si="56"/>
        <v>0</v>
      </c>
      <c r="G150" s="187">
        <f t="shared" si="56"/>
        <v>0</v>
      </c>
      <c r="H150" s="187">
        <f t="shared" si="56"/>
        <v>0</v>
      </c>
      <c r="I150" s="187">
        <f t="shared" si="56"/>
        <v>0</v>
      </c>
      <c r="J150" s="338"/>
      <c r="K150" s="338"/>
      <c r="L150" s="300">
        <f t="shared" ref="L150:Q150" si="57">SUM(L146:L149)</f>
        <v>0</v>
      </c>
      <c r="M150" s="300">
        <f t="shared" si="57"/>
        <v>0</v>
      </c>
      <c r="N150" s="300">
        <f t="shared" si="57"/>
        <v>0</v>
      </c>
      <c r="O150" s="300">
        <f t="shared" si="57"/>
        <v>0</v>
      </c>
      <c r="P150" s="300">
        <f t="shared" si="57"/>
        <v>0</v>
      </c>
      <c r="Q150" s="300">
        <f t="shared" si="57"/>
        <v>0</v>
      </c>
      <c r="R150" s="133"/>
      <c r="S150" s="133"/>
      <c r="T150" s="133"/>
      <c r="U150" s="133"/>
      <c r="V150" s="133"/>
      <c r="W150" s="133"/>
      <c r="X150" s="133"/>
      <c r="Y150" s="133"/>
      <c r="Z150" s="133"/>
      <c r="AJ150" s="292"/>
      <c r="AK150" s="292"/>
      <c r="AL150" s="292"/>
      <c r="AM150" s="292"/>
      <c r="AN150" s="292"/>
    </row>
    <row r="151" spans="1:40" x14ac:dyDescent="0.25">
      <c r="A151" s="338"/>
      <c r="B151" s="312"/>
      <c r="C151" s="262"/>
      <c r="D151" s="291" t="s">
        <v>775</v>
      </c>
      <c r="E151" s="187">
        <f>E150-$D$150</f>
        <v>0</v>
      </c>
      <c r="F151" s="187">
        <f>F150-$D$150</f>
        <v>0</v>
      </c>
      <c r="G151" s="187">
        <f>G150-$D$150</f>
        <v>0</v>
      </c>
      <c r="H151" s="187">
        <f>H150-$D$150</f>
        <v>0</v>
      </c>
      <c r="I151" s="187">
        <f>I150-$D$150</f>
        <v>0</v>
      </c>
      <c r="J151" s="338"/>
      <c r="K151" s="338"/>
      <c r="L151" s="591"/>
      <c r="M151" s="300">
        <f>M150-$L$150</f>
        <v>0</v>
      </c>
      <c r="N151" s="300">
        <f>N150-$L$150</f>
        <v>0</v>
      </c>
      <c r="O151" s="300">
        <f>O150-$L$150</f>
        <v>0</v>
      </c>
      <c r="P151" s="300">
        <f>P150-$L$150</f>
        <v>0</v>
      </c>
      <c r="Q151" s="300">
        <f>Q150-$L$150</f>
        <v>0</v>
      </c>
      <c r="V151" s="133"/>
    </row>
    <row r="152" spans="1:40" x14ac:dyDescent="0.25">
      <c r="A152" s="338"/>
      <c r="B152" s="338"/>
      <c r="C152" s="338"/>
      <c r="D152" s="338"/>
      <c r="E152" s="338"/>
      <c r="F152" s="338"/>
      <c r="G152" s="338"/>
      <c r="H152" s="338"/>
      <c r="I152" s="338"/>
      <c r="J152" s="338"/>
      <c r="K152" s="338"/>
      <c r="L152" s="338"/>
      <c r="M152" s="338"/>
      <c r="N152" s="338"/>
      <c r="O152" s="338"/>
      <c r="P152" s="338"/>
      <c r="Q152" s="338"/>
      <c r="V152" s="133"/>
    </row>
    <row r="153" spans="1:40" x14ac:dyDescent="0.25">
      <c r="A153" s="296"/>
      <c r="B153" s="334" t="s">
        <v>776</v>
      </c>
      <c r="C153" s="318"/>
      <c r="D153" s="319"/>
      <c r="E153" s="320"/>
      <c r="F153" s="321"/>
      <c r="G153" s="321"/>
      <c r="H153" s="321"/>
      <c r="I153" s="447"/>
      <c r="J153" s="296"/>
      <c r="K153" s="296"/>
      <c r="L153" s="296"/>
      <c r="M153" s="296"/>
      <c r="N153" s="296"/>
      <c r="O153" s="296"/>
      <c r="P153" s="296"/>
      <c r="Q153" s="225"/>
      <c r="R153" s="133"/>
      <c r="S153" s="133"/>
      <c r="T153" s="133"/>
      <c r="U153" s="133"/>
      <c r="V153" s="133"/>
      <c r="W153" s="133"/>
      <c r="X153" s="133"/>
      <c r="Y153" s="133"/>
      <c r="Z153" s="133"/>
      <c r="AJ153" s="292"/>
      <c r="AK153" s="292"/>
      <c r="AL153" s="292"/>
      <c r="AM153" s="292"/>
      <c r="AN153" s="292"/>
    </row>
    <row r="154" spans="1:40" x14ac:dyDescent="0.25">
      <c r="A154" s="296"/>
      <c r="B154" s="409" t="s">
        <v>1164</v>
      </c>
      <c r="C154" s="410"/>
      <c r="D154" s="410"/>
      <c r="E154" s="410"/>
      <c r="F154" s="410"/>
      <c r="G154" s="410"/>
      <c r="H154" s="410"/>
      <c r="I154" s="224"/>
      <c r="J154" s="225"/>
      <c r="K154" s="225"/>
      <c r="L154" s="296"/>
      <c r="M154" s="296"/>
      <c r="N154" s="296"/>
      <c r="O154" s="296"/>
      <c r="P154" s="296"/>
      <c r="Q154" s="225"/>
      <c r="R154" s="133"/>
      <c r="S154" s="133"/>
      <c r="T154" s="133"/>
      <c r="U154" s="133"/>
      <c r="V154" s="133"/>
      <c r="W154" s="133"/>
      <c r="X154" s="133"/>
      <c r="Y154" s="133"/>
      <c r="Z154" s="133"/>
      <c r="AJ154" s="292"/>
      <c r="AK154" s="292"/>
      <c r="AL154" s="292"/>
      <c r="AM154" s="292"/>
      <c r="AN154" s="292"/>
    </row>
    <row r="155" spans="1:40" ht="45" x14ac:dyDescent="0.25">
      <c r="A155" s="296"/>
      <c r="B155" s="285" t="s">
        <v>131</v>
      </c>
      <c r="C155" s="166" t="s">
        <v>1164</v>
      </c>
      <c r="D155" s="434" t="s">
        <v>743</v>
      </c>
      <c r="E155" s="261" t="s">
        <v>51</v>
      </c>
      <c r="F155" s="261" t="s">
        <v>52</v>
      </c>
      <c r="G155" s="165" t="s">
        <v>744</v>
      </c>
      <c r="H155" s="165" t="s">
        <v>745</v>
      </c>
      <c r="I155" s="261" t="s">
        <v>746</v>
      </c>
      <c r="J155" s="296"/>
      <c r="K155" s="296"/>
      <c r="L155" s="296"/>
      <c r="M155" s="296"/>
      <c r="N155" s="296"/>
      <c r="O155" s="296"/>
      <c r="P155" s="296"/>
      <c r="Q155" s="225"/>
      <c r="R155" s="133"/>
      <c r="S155" s="133"/>
      <c r="T155" s="133"/>
      <c r="U155" s="133"/>
      <c r="V155" s="133"/>
      <c r="W155" s="133"/>
      <c r="X155" s="133"/>
      <c r="Y155" s="133"/>
      <c r="Z155" s="133"/>
      <c r="AJ155" s="292"/>
      <c r="AK155" s="292"/>
      <c r="AL155" s="292"/>
      <c r="AM155" s="292"/>
      <c r="AN155" s="292"/>
    </row>
    <row r="156" spans="1:40" x14ac:dyDescent="0.25">
      <c r="A156" s="296"/>
      <c r="B156" s="358" t="s">
        <v>1247</v>
      </c>
      <c r="C156" s="149">
        <f>'Inputs and eligible population'!F112</f>
        <v>10.92</v>
      </c>
      <c r="D156" s="128">
        <f>D$7*'Inputs and eligible population'!E$79*$C156</f>
        <v>0</v>
      </c>
      <c r="E156" s="128">
        <f>E$7*'Inputs and eligible population'!F$79*$C156</f>
        <v>3321.6654319164204</v>
      </c>
      <c r="F156" s="128">
        <f>F$7*'Inputs and eligible population'!G$79*$C156+(E$7*'Inputs and eligible population'!F$79*('Unit costs'!$O$61/'Unit costs'!$O$56)*$C156)</f>
        <v>7173.6231304106886</v>
      </c>
      <c r="G156" s="128">
        <f>G$7*'Inputs and eligible population'!H$79*$C156+(F$7*'Inputs and eligible population'!G$79*('Unit costs'!$O$61/'Unit costs'!$O$56)*$C156)</f>
        <v>7518.091207708304</v>
      </c>
      <c r="H156" s="128">
        <f>H$7*'Inputs and eligible population'!I$79*$C156+(G$7*'Inputs and eligible population'!H$79*('Unit costs'!$O$61/'Unit costs'!$O$56)*$C156)</f>
        <v>7590.5791956292833</v>
      </c>
      <c r="I156" s="128">
        <f>I$7*'Inputs and eligible population'!J$79*$C156+(H$7*'Inputs and eligible population'!I$79*('Unit costs'!$O$61/'Unit costs'!$O$56)*$C156)</f>
        <v>7663.7660987732443</v>
      </c>
      <c r="J156" s="296"/>
      <c r="K156" s="296"/>
      <c r="L156" s="296"/>
      <c r="M156" s="296"/>
      <c r="N156" s="296"/>
      <c r="O156" s="296"/>
      <c r="P156" s="296"/>
      <c r="Q156" s="225"/>
      <c r="R156" s="133"/>
      <c r="S156" s="133"/>
      <c r="T156" s="133"/>
      <c r="U156" s="133"/>
      <c r="V156" s="133"/>
      <c r="W156" s="133"/>
      <c r="X156" s="133"/>
      <c r="Y156" s="133"/>
      <c r="Z156" s="133"/>
      <c r="AJ156" s="292"/>
      <c r="AK156" s="292"/>
      <c r="AL156" s="292"/>
      <c r="AM156" s="292"/>
      <c r="AN156" s="292"/>
    </row>
    <row r="157" spans="1:40" x14ac:dyDescent="0.25">
      <c r="A157" s="296"/>
      <c r="B157" s="358" t="s">
        <v>1125</v>
      </c>
      <c r="C157" s="149">
        <f>'Inputs and eligible population'!G112</f>
        <v>10.92</v>
      </c>
      <c r="D157" s="128">
        <f>'Financial impact (cash)'!D40*$C$157+('Financial impact (cash)'!D40*('Unit costs'!$O$85/'Unit costs'!$O$80)*$C$157)</f>
        <v>13262.588448122942</v>
      </c>
      <c r="E157" s="128">
        <f>'Financial impact (cash)'!E40*$C$157+('Financial impact (cash)'!D40*('Unit costs'!$O$85/'Unit costs'!$O$80)*$C$157)</f>
        <v>9964.9962957492608</v>
      </c>
      <c r="F157" s="128">
        <f>'Financial impact (cash)'!F40*$C$157+('Financial impact (cash)'!E40*('Unit costs'!$O$85/'Unit costs'!$O$80)*$C$157)</f>
        <v>6497.7788127866834</v>
      </c>
      <c r="G157" s="128">
        <f>'Financial impact (cash)'!G40*$C$157+('Financial impact (cash)'!F40*('Unit costs'!$O$85/'Unit costs'!$O$80)*$C$157)</f>
        <v>6560.42914504277</v>
      </c>
      <c r="H157" s="128">
        <f>'Financial impact (cash)'!H40*$C$157+('Financial impact (cash)'!G40*('Unit costs'!$O$85/'Unit costs'!$O$80)*$C$157)</f>
        <v>6623.6835397400191</v>
      </c>
      <c r="I157" s="128">
        <f>'Financial impact (cash)'!I40*$C$157+('Financial impact (cash)'!H40*('Unit costs'!$O$85/'Unit costs'!$O$80)*$C$157)</f>
        <v>6687.5478211321879</v>
      </c>
      <c r="J157" s="296"/>
      <c r="K157" s="296"/>
      <c r="L157" s="296"/>
      <c r="M157" s="296"/>
      <c r="N157" s="296"/>
      <c r="O157" s="296"/>
      <c r="P157" s="296"/>
      <c r="Q157" s="225"/>
      <c r="R157" s="133"/>
      <c r="S157" s="133"/>
      <c r="T157" s="133"/>
      <c r="U157" s="133"/>
      <c r="V157" s="133"/>
      <c r="W157" s="133"/>
      <c r="X157" s="133"/>
      <c r="Y157" s="133"/>
      <c r="Z157" s="133"/>
      <c r="AJ157" s="292"/>
      <c r="AK157" s="292"/>
      <c r="AL157" s="292"/>
      <c r="AM157" s="292"/>
      <c r="AN157" s="292"/>
    </row>
    <row r="158" spans="1:40" x14ac:dyDescent="0.25">
      <c r="A158" s="296"/>
      <c r="B158" s="358" t="s">
        <v>1248</v>
      </c>
      <c r="C158" s="149">
        <f>'Inputs and eligible population'!H112</f>
        <v>10.92</v>
      </c>
      <c r="D158" s="128">
        <f>D$7*'Inputs and eligible population'!E$81*$C158</f>
        <v>1336.5399211286685</v>
      </c>
      <c r="E158" s="128">
        <f>E$7*'Inputs and eligible population'!F$81*$C158</f>
        <v>1453.228626463434</v>
      </c>
      <c r="F158" s="128">
        <f>F$7*'Inputs and eligible population'!G$81*$C158</f>
        <v>1467.2403770808644</v>
      </c>
      <c r="G158" s="128">
        <f>G$7*'Inputs and eligible population'!H$81*$C158</f>
        <v>1481.3872262999807</v>
      </c>
      <c r="H158" s="128">
        <f>H$7*'Inputs and eligible population'!I$81*$C158</f>
        <v>1495.6704767154886</v>
      </c>
      <c r="I158" s="128">
        <f>I$7*'Inputs and eligible population'!J$81*$C158</f>
        <v>1510.0914434814617</v>
      </c>
      <c r="J158" s="296"/>
      <c r="K158" s="296"/>
      <c r="L158" s="296"/>
      <c r="M158" s="296"/>
      <c r="N158" s="296"/>
      <c r="O158" s="296"/>
      <c r="P158" s="296"/>
      <c r="Q158" s="225"/>
      <c r="R158" s="133"/>
      <c r="S158" s="133"/>
      <c r="T158" s="133"/>
      <c r="U158" s="133"/>
      <c r="V158" s="133"/>
      <c r="W158" s="133"/>
      <c r="X158" s="133"/>
      <c r="Y158" s="133"/>
      <c r="Z158" s="133"/>
      <c r="AJ158" s="292"/>
      <c r="AK158" s="292"/>
      <c r="AL158" s="292"/>
      <c r="AM158" s="292"/>
      <c r="AN158" s="292"/>
    </row>
    <row r="159" spans="1:40" x14ac:dyDescent="0.25">
      <c r="A159" s="296"/>
      <c r="B159" s="358" t="s">
        <v>1251</v>
      </c>
      <c r="C159" s="149">
        <f>'Inputs and eligible population'!I112</f>
        <v>10.92</v>
      </c>
      <c r="D159" s="128">
        <f>'Financial impact (cash)'!D42*$C$159+('Financial impact (cash)'!D42*('Unit costs'!$O$75/'Unit costs'!$O$70)*$C$159)</f>
        <v>6862.3924834586542</v>
      </c>
      <c r="E159" s="128">
        <f>'Financial impact (cash)'!E42*$C$159+('Financial impact (cash)'!D42*('Unit costs'!$O$75/'Unit costs'!$O$70)*$C$159)</f>
        <v>6919.8868153100311</v>
      </c>
      <c r="F159" s="128">
        <f>'Financial impact (cash)'!F42*$C$159+('Financial impact (cash)'!E42*('Unit costs'!$O$75/'Unit costs'!$O$70)*$C$159)</f>
        <v>6986.6070316554287</v>
      </c>
      <c r="G159" s="128">
        <f>'Financial impact (cash)'!G42*$C$159+('Financial impact (cash)'!F42*('Unit costs'!$O$75/'Unit costs'!$O$70)*$C$159)</f>
        <v>7053.9705514807829</v>
      </c>
      <c r="H159" s="128">
        <f>'Financial impact (cash)'!H42*$C$159+('Financial impact (cash)'!G42*('Unit costs'!$O$75/'Unit costs'!$O$70)*$C$159)</f>
        <v>7121.9835773943842</v>
      </c>
      <c r="I159" s="128">
        <f>'Financial impact (cash)'!I42*$C$159+('Financial impact (cash)'!H42*('Unit costs'!$O$75/'Unit costs'!$O$70)*$C$159)</f>
        <v>7190.6523718088838</v>
      </c>
      <c r="J159" s="296"/>
      <c r="K159" s="296"/>
      <c r="L159" s="296"/>
      <c r="M159" s="296"/>
      <c r="N159" s="296"/>
      <c r="O159" s="296"/>
      <c r="P159" s="296"/>
      <c r="Q159" s="225"/>
      <c r="R159" s="133"/>
      <c r="S159" s="133"/>
      <c r="T159" s="133"/>
      <c r="U159" s="133"/>
      <c r="V159" s="133"/>
      <c r="W159" s="133"/>
      <c r="X159" s="133"/>
      <c r="Y159" s="133"/>
      <c r="Z159" s="133"/>
      <c r="AJ159" s="292"/>
      <c r="AK159" s="292"/>
      <c r="AL159" s="292"/>
      <c r="AM159" s="292"/>
      <c r="AN159" s="292"/>
    </row>
    <row r="160" spans="1:40" x14ac:dyDescent="0.25">
      <c r="A160" s="296"/>
      <c r="B160" s="289"/>
      <c r="C160" s="209"/>
      <c r="D160" s="187">
        <f t="shared" ref="D160:I160" si="58">SUM(D156:D159)</f>
        <v>21461.520852710266</v>
      </c>
      <c r="E160" s="187">
        <f t="shared" si="58"/>
        <v>21659.777169439145</v>
      </c>
      <c r="F160" s="187">
        <f t="shared" si="58"/>
        <v>22125.249351933664</v>
      </c>
      <c r="G160" s="187">
        <f t="shared" si="58"/>
        <v>22613.878130531841</v>
      </c>
      <c r="H160" s="187">
        <f t="shared" si="58"/>
        <v>22831.916789479175</v>
      </c>
      <c r="I160" s="187">
        <f t="shared" si="58"/>
        <v>23052.057735195776</v>
      </c>
      <c r="J160" s="296"/>
      <c r="K160" s="296"/>
      <c r="L160" s="296"/>
      <c r="M160" s="296"/>
      <c r="N160" s="296"/>
      <c r="O160" s="296"/>
      <c r="P160" s="296"/>
      <c r="Q160" s="225"/>
      <c r="R160" s="133"/>
      <c r="S160" s="133"/>
      <c r="T160" s="133"/>
      <c r="U160" s="133"/>
      <c r="V160" s="133"/>
      <c r="W160" s="133"/>
      <c r="X160" s="133"/>
      <c r="Y160" s="133"/>
      <c r="Z160" s="133"/>
      <c r="AJ160" s="292"/>
      <c r="AK160" s="292"/>
      <c r="AL160" s="292"/>
      <c r="AM160" s="292"/>
      <c r="AN160" s="292"/>
    </row>
    <row r="161" spans="1:40" x14ac:dyDescent="0.25">
      <c r="A161" s="296"/>
      <c r="B161" s="312"/>
      <c r="C161" s="262"/>
      <c r="D161" s="291" t="s">
        <v>1184</v>
      </c>
      <c r="E161" s="187">
        <f>E160-$D$160</f>
        <v>198.25631672887903</v>
      </c>
      <c r="F161" s="187">
        <f>F160-$D$160</f>
        <v>663.7284992233981</v>
      </c>
      <c r="G161" s="187">
        <f>G160-$D$160</f>
        <v>1152.3572778215748</v>
      </c>
      <c r="H161" s="187">
        <f>H160-$D$160</f>
        <v>1370.3959367689095</v>
      </c>
      <c r="I161" s="187">
        <f>I160-$D$160</f>
        <v>1590.5368824855104</v>
      </c>
      <c r="J161" s="296"/>
      <c r="K161" s="296"/>
      <c r="L161" s="296"/>
      <c r="M161" s="296"/>
      <c r="N161" s="296"/>
      <c r="O161" s="296"/>
      <c r="P161" s="296"/>
      <c r="Q161" s="225"/>
      <c r="V161" s="133"/>
    </row>
    <row r="162" spans="1:40" x14ac:dyDescent="0.25">
      <c r="A162" s="296"/>
      <c r="B162" s="335"/>
      <c r="C162" s="225"/>
      <c r="D162" s="225"/>
      <c r="E162" s="225"/>
      <c r="F162" s="225"/>
      <c r="G162" s="225"/>
      <c r="H162" s="225"/>
      <c r="I162" s="225"/>
      <c r="J162" s="296"/>
      <c r="K162" s="296"/>
      <c r="L162" s="296"/>
      <c r="M162" s="296"/>
      <c r="N162" s="296"/>
      <c r="O162" s="296"/>
      <c r="P162" s="296"/>
      <c r="Q162" s="225"/>
      <c r="V162" s="133"/>
    </row>
    <row r="163" spans="1:40" x14ac:dyDescent="0.25">
      <c r="A163" s="296"/>
      <c r="B163" s="409" t="s">
        <v>1165</v>
      </c>
      <c r="C163" s="410"/>
      <c r="D163" s="410"/>
      <c r="E163" s="410"/>
      <c r="F163" s="410"/>
      <c r="G163" s="410"/>
      <c r="H163" s="410"/>
      <c r="I163" s="224"/>
      <c r="J163" s="296"/>
      <c r="K163" s="296"/>
      <c r="L163" s="296"/>
      <c r="M163" s="296"/>
      <c r="N163" s="296"/>
      <c r="O163" s="296"/>
      <c r="P163" s="296"/>
      <c r="Q163" s="225"/>
      <c r="R163" s="133"/>
      <c r="S163" s="133"/>
      <c r="T163" s="133"/>
      <c r="U163" s="133"/>
      <c r="V163" s="133"/>
      <c r="W163" s="133"/>
      <c r="X163" s="133"/>
      <c r="Y163" s="133"/>
      <c r="Z163" s="133"/>
      <c r="AJ163" s="292"/>
      <c r="AK163" s="292"/>
      <c r="AL163" s="292"/>
      <c r="AM163" s="292"/>
      <c r="AN163" s="292"/>
    </row>
    <row r="164" spans="1:40" ht="45" x14ac:dyDescent="0.25">
      <c r="A164" s="296"/>
      <c r="B164" s="285" t="s">
        <v>131</v>
      </c>
      <c r="C164" s="166" t="s">
        <v>1185</v>
      </c>
      <c r="D164" s="434" t="s">
        <v>743</v>
      </c>
      <c r="E164" s="261" t="s">
        <v>51</v>
      </c>
      <c r="F164" s="261" t="s">
        <v>52</v>
      </c>
      <c r="G164" s="165" t="s">
        <v>744</v>
      </c>
      <c r="H164" s="165" t="s">
        <v>745</v>
      </c>
      <c r="I164" s="261" t="s">
        <v>746</v>
      </c>
      <c r="J164" s="296"/>
      <c r="K164" s="296"/>
      <c r="L164" s="296"/>
      <c r="M164" s="296"/>
      <c r="N164" s="296"/>
      <c r="O164" s="296"/>
      <c r="P164" s="296"/>
      <c r="Q164" s="225"/>
      <c r="R164" s="133"/>
      <c r="S164" s="133"/>
      <c r="T164" s="133"/>
      <c r="U164" s="133"/>
      <c r="V164" s="133"/>
      <c r="W164" s="133"/>
      <c r="X164" s="133"/>
      <c r="Y164" s="133"/>
      <c r="Z164" s="133"/>
      <c r="AJ164" s="292"/>
      <c r="AK164" s="292"/>
      <c r="AL164" s="292"/>
      <c r="AM164" s="292"/>
      <c r="AN164" s="292"/>
    </row>
    <row r="165" spans="1:40" x14ac:dyDescent="0.25">
      <c r="A165" s="296"/>
      <c r="B165" s="358" t="s">
        <v>1247</v>
      </c>
      <c r="C165" s="149">
        <f>'Inputs and eligible population'!F114</f>
        <v>9.8800000000000008</v>
      </c>
      <c r="D165" s="128">
        <f>D$7*'Inputs and eligible population'!E$79*$C165</f>
        <v>0</v>
      </c>
      <c r="E165" s="128">
        <f>E$7*'Inputs and eligible population'!F$79*$C165</f>
        <v>3005.3163431624757</v>
      </c>
      <c r="F165" s="128">
        <f>F$7*'Inputs and eligible population'!G$79*$C165+(E$7*'Inputs and eligible population'!F$79*('Unit costs'!$O$61/'Unit costs'!$O$56)*$C165)</f>
        <v>6490.4209275144331</v>
      </c>
      <c r="G165" s="128">
        <f>G$7*'Inputs and eligible population'!H$79*$C165+(F$7*'Inputs and eligible population'!G$79*('Unit costs'!$O$61/'Unit costs'!$O$56)*$C165)</f>
        <v>6802.0825212598947</v>
      </c>
      <c r="H165" s="128">
        <f>H$7*'Inputs and eligible population'!I$79*$C165+(G$7*'Inputs and eligible population'!H$79*('Unit costs'!$O$61/'Unit costs'!$O$56)*$C165)</f>
        <v>6867.6668912836376</v>
      </c>
      <c r="I165" s="128">
        <f>I$7*'Inputs and eligible population'!J$79*$C165+(H$7*'Inputs and eligible population'!I$79*('Unit costs'!$O$61/'Unit costs'!$O$56)*$C165)</f>
        <v>6933.8836131757935</v>
      </c>
      <c r="J165" s="296"/>
      <c r="K165" s="296"/>
      <c r="L165" s="296"/>
      <c r="M165" s="296"/>
      <c r="N165" s="296"/>
      <c r="O165" s="296"/>
      <c r="P165" s="296"/>
      <c r="Q165" s="225"/>
      <c r="R165" s="133"/>
      <c r="S165" s="133"/>
      <c r="T165" s="133"/>
      <c r="U165" s="133"/>
      <c r="V165" s="133"/>
      <c r="W165" s="133"/>
      <c r="X165" s="133"/>
      <c r="Y165" s="133"/>
      <c r="Z165" s="133"/>
      <c r="AJ165" s="292"/>
      <c r="AK165" s="292"/>
      <c r="AL165" s="292"/>
      <c r="AM165" s="292"/>
      <c r="AN165" s="292"/>
    </row>
    <row r="166" spans="1:40" x14ac:dyDescent="0.25">
      <c r="A166" s="296"/>
      <c r="B166" s="358" t="s">
        <v>1125</v>
      </c>
      <c r="C166" s="149">
        <f>'Inputs and eligible population'!G114</f>
        <v>9.8800000000000008</v>
      </c>
      <c r="D166" s="128">
        <f>'Financial impact (cash)'!$D$40*$C$166+('Financial impact (cash)'!$D$40*('Unit costs'!$O$85/'Unit costs'!$O$80)*$C$166)</f>
        <v>11999.484786396948</v>
      </c>
      <c r="E166" s="128">
        <f>'Financial impact (cash)'!$E$40*$C$166+('Financial impact (cash)'!$D$40*('Unit costs'!$O$85/'Unit costs'!$O$80)*$C$166)</f>
        <v>9015.9490294874267</v>
      </c>
      <c r="F166" s="128">
        <f>'Financial impact (cash)'!$F$40*$C$166+('Financial impact (cash)'!$E$40*('Unit costs'!$O$85/'Unit costs'!$O$80)*$C$166)</f>
        <v>5878.9427353784286</v>
      </c>
      <c r="G166" s="128">
        <f>'Financial impact (cash)'!$G$40*$C$166+('Financial impact (cash)'!$F$40*('Unit costs'!$O$85/'Unit costs'!$O$80)*$C$166)</f>
        <v>5935.6263693244118</v>
      </c>
      <c r="H166" s="128">
        <f>'Financial impact (cash)'!$G$40*$C$166+('Financial impact (cash)'!$H$40*('Unit costs'!$O$85/'Unit costs'!$O$80)*$C$166)</f>
        <v>5935.6263693244118</v>
      </c>
      <c r="I166" s="128">
        <f>'Financial impact (cash)'!$H$40*$C$166+('Financial impact (cash)'!$I$40*('Unit costs'!$O$85/'Unit costs'!$O$80)*$C$166)</f>
        <v>5992.8565359552558</v>
      </c>
      <c r="J166" s="296"/>
      <c r="K166" s="296"/>
      <c r="L166" s="296"/>
      <c r="M166" s="296"/>
      <c r="N166" s="296"/>
      <c r="O166" s="296"/>
      <c r="P166" s="296"/>
      <c r="Q166" s="225"/>
      <c r="R166" s="133"/>
      <c r="S166" s="133"/>
      <c r="T166" s="133"/>
      <c r="U166" s="133"/>
      <c r="V166" s="133"/>
      <c r="W166" s="133"/>
      <c r="X166" s="133"/>
      <c r="Y166" s="133"/>
      <c r="Z166" s="133"/>
      <c r="AJ166" s="292"/>
      <c r="AK166" s="292"/>
      <c r="AL166" s="292"/>
      <c r="AM166" s="292"/>
      <c r="AN166" s="292"/>
    </row>
    <row r="167" spans="1:40" x14ac:dyDescent="0.25">
      <c r="A167" s="296"/>
      <c r="B167" s="358" t="s">
        <v>1248</v>
      </c>
      <c r="C167" s="149">
        <f>'Inputs and eligible population'!H114</f>
        <v>9.8800000000000008</v>
      </c>
      <c r="D167" s="128">
        <f>D$7*'Inputs and eligible population'!E$81*$C167</f>
        <v>1209.2504048307001</v>
      </c>
      <c r="E167" s="128">
        <f>E$7*'Inputs and eligible population'!F$81*$C167</f>
        <v>1314.8259001335832</v>
      </c>
      <c r="F167" s="128">
        <f>F$7*'Inputs and eligible population'!G$81*$C167</f>
        <v>1327.5031983112583</v>
      </c>
      <c r="G167" s="128">
        <f>G$7*'Inputs and eligible population'!H$81*$C167</f>
        <v>1340.3027285571254</v>
      </c>
      <c r="H167" s="128">
        <f>H$7*'Inputs and eligible population'!I$81*$C167</f>
        <v>1353.2256694092516</v>
      </c>
      <c r="I167" s="128">
        <f>I$7*'Inputs and eligible population'!J$81*$C167</f>
        <v>1366.2732107689417</v>
      </c>
      <c r="J167" s="296"/>
      <c r="K167" s="296"/>
      <c r="L167" s="296"/>
      <c r="M167" s="296"/>
      <c r="N167" s="296"/>
      <c r="O167" s="296"/>
      <c r="P167" s="296"/>
      <c r="Q167" s="225"/>
      <c r="R167" s="133"/>
      <c r="S167" s="133"/>
      <c r="T167" s="133"/>
      <c r="U167" s="133"/>
      <c r="V167" s="133"/>
      <c r="W167" s="133"/>
      <c r="X167" s="133"/>
      <c r="Y167" s="133"/>
      <c r="Z167" s="133"/>
      <c r="AJ167" s="292"/>
      <c r="AK167" s="292"/>
      <c r="AL167" s="292"/>
      <c r="AM167" s="292"/>
      <c r="AN167" s="292"/>
    </row>
    <row r="168" spans="1:40" x14ac:dyDescent="0.25">
      <c r="A168" s="296"/>
      <c r="B168" s="358" t="s">
        <v>1251</v>
      </c>
      <c r="C168" s="149">
        <f>'Inputs and eligible population'!I114</f>
        <v>9.8800000000000008</v>
      </c>
      <c r="D168" s="128">
        <f>'Financial impact (cash)'!$D$42*$C$168+('Financial impact (cash)'!$D$42*('Unit costs'!$O$85/'Unit costs'!$O$80)*$C$168)</f>
        <v>5395.1171907831231</v>
      </c>
      <c r="E168" s="128">
        <f>'Financial impact (cash)'!$E$42*$C$168+('Financial impact (cash)'!$D$42*('Unit costs'!$O$85/'Unit costs'!$O$80)*$C$168)</f>
        <v>5447.1358719819873</v>
      </c>
      <c r="F168" s="128">
        <f>'Financial impact (cash)'!$F$42*$C$168+('Financial impact (cash)'!$E$42*('Unit costs'!$O$85/'Unit costs'!$O$80)*$C$168)</f>
        <v>5499.6561072894974</v>
      </c>
      <c r="G168" s="128">
        <f>'Financial impact (cash)'!$G$42*$C$168+('Financial impact (cash)'!$F$42*('Unit costs'!$O$85/'Unit costs'!$O$80)*$C$168)</f>
        <v>5552.6827325938038</v>
      </c>
      <c r="H168" s="128">
        <f>'Financial impact (cash)'!$G$42*$C$168+('Financial impact (cash)'!$H$42*('Unit costs'!$O$85/'Unit costs'!$O$80)*$C$168)</f>
        <v>5552.6827325938038</v>
      </c>
      <c r="I168" s="128">
        <f>'Financial impact (cash)'!$H$42*$C$168+('Financial impact (cash)'!$I$42*('Unit costs'!$O$85/'Unit costs'!$O$80)*$C$168)</f>
        <v>5606.2206304097554</v>
      </c>
      <c r="J168" s="296"/>
      <c r="K168" s="296"/>
      <c r="L168" s="296"/>
      <c r="M168" s="296"/>
      <c r="N168" s="296"/>
      <c r="O168" s="296"/>
      <c r="P168" s="296"/>
      <c r="Q168" s="225"/>
      <c r="R168" s="133"/>
      <c r="S168" s="133"/>
      <c r="T168" s="133"/>
      <c r="U168" s="133"/>
      <c r="V168" s="133"/>
      <c r="W168" s="133"/>
      <c r="X168" s="133"/>
      <c r="Y168" s="133"/>
      <c r="Z168" s="133"/>
      <c r="AJ168" s="292"/>
      <c r="AK168" s="292"/>
      <c r="AL168" s="292"/>
      <c r="AM168" s="292"/>
      <c r="AN168" s="292"/>
    </row>
    <row r="169" spans="1:40" x14ac:dyDescent="0.25">
      <c r="A169" s="296"/>
      <c r="B169" s="289"/>
      <c r="C169" s="209"/>
      <c r="D169" s="187">
        <f t="shared" ref="D169:I169" si="59">SUM(D165:D168)</f>
        <v>18603.852382010773</v>
      </c>
      <c r="E169" s="187">
        <f t="shared" si="59"/>
        <v>18783.227144765471</v>
      </c>
      <c r="F169" s="187">
        <f t="shared" si="59"/>
        <v>19196.522968493617</v>
      </c>
      <c r="G169" s="187">
        <f t="shared" si="59"/>
        <v>19630.694351735237</v>
      </c>
      <c r="H169" s="187">
        <f t="shared" si="59"/>
        <v>19709.201662611107</v>
      </c>
      <c r="I169" s="187">
        <f t="shared" si="59"/>
        <v>19899.233990309745</v>
      </c>
      <c r="J169" s="296"/>
      <c r="K169" s="296"/>
      <c r="L169" s="296"/>
      <c r="M169" s="296"/>
      <c r="N169" s="296"/>
      <c r="O169" s="296"/>
      <c r="P169" s="296"/>
      <c r="Q169" s="225"/>
      <c r="R169" s="133"/>
      <c r="S169" s="133"/>
      <c r="T169" s="133"/>
      <c r="U169" s="133"/>
      <c r="V169" s="133"/>
      <c r="W169" s="133"/>
      <c r="X169" s="133"/>
      <c r="Y169" s="133"/>
      <c r="Z169" s="133"/>
      <c r="AJ169" s="292"/>
      <c r="AK169" s="292"/>
      <c r="AL169" s="292"/>
      <c r="AM169" s="292"/>
      <c r="AN169" s="292"/>
    </row>
    <row r="170" spans="1:40" x14ac:dyDescent="0.25">
      <c r="A170" s="296"/>
      <c r="B170" s="312"/>
      <c r="C170" s="262"/>
      <c r="D170" s="291" t="s">
        <v>1186</v>
      </c>
      <c r="E170" s="187">
        <f>E169-$D$169</f>
        <v>179.37476275469817</v>
      </c>
      <c r="F170" s="187">
        <f>F169-$D$169</f>
        <v>592.67058648284365</v>
      </c>
      <c r="G170" s="187">
        <f>G169-$D$169</f>
        <v>1026.8419697244644</v>
      </c>
      <c r="H170" s="187">
        <f>H169-$D$169</f>
        <v>1105.3492806003342</v>
      </c>
      <c r="I170" s="187">
        <f>I169-$D$169</f>
        <v>1295.3816082989724</v>
      </c>
      <c r="J170" s="296"/>
      <c r="K170" s="296"/>
      <c r="L170" s="296"/>
      <c r="M170" s="296"/>
      <c r="N170" s="296"/>
      <c r="O170" s="296"/>
      <c r="P170" s="296"/>
      <c r="Q170" s="225"/>
      <c r="V170" s="133"/>
    </row>
    <row r="171" spans="1:40" x14ac:dyDescent="0.25">
      <c r="A171" s="296"/>
      <c r="B171" s="335"/>
      <c r="C171" s="225"/>
      <c r="D171" s="225"/>
      <c r="E171" s="225"/>
      <c r="F171" s="225"/>
      <c r="G171" s="225"/>
      <c r="H171" s="225"/>
      <c r="I171" s="225"/>
      <c r="J171" s="225"/>
      <c r="K171" s="225"/>
      <c r="L171" s="296"/>
      <c r="M171" s="296"/>
      <c r="N171" s="296"/>
      <c r="O171" s="296"/>
      <c r="P171" s="296"/>
      <c r="Q171" s="225"/>
      <c r="V171" s="133"/>
    </row>
    <row r="172" spans="1:40" x14ac:dyDescent="0.25">
      <c r="A172" s="296"/>
      <c r="B172" s="409" t="s">
        <v>1187</v>
      </c>
      <c r="C172" s="410"/>
      <c r="D172" s="410"/>
      <c r="E172" s="410"/>
      <c r="F172" s="410"/>
      <c r="G172" s="410"/>
      <c r="H172" s="410"/>
      <c r="I172" s="224"/>
      <c r="J172" s="225"/>
      <c r="K172" s="225"/>
      <c r="L172" s="296"/>
      <c r="M172" s="296"/>
      <c r="N172" s="296"/>
      <c r="O172" s="296"/>
      <c r="P172" s="296"/>
      <c r="Q172" s="225"/>
      <c r="R172" s="133"/>
      <c r="S172" s="133"/>
      <c r="T172" s="133"/>
      <c r="U172" s="133"/>
      <c r="V172" s="133"/>
      <c r="W172" s="133"/>
      <c r="X172" s="133"/>
      <c r="Y172" s="133"/>
      <c r="Z172" s="133"/>
      <c r="AJ172" s="292"/>
      <c r="AK172" s="292"/>
      <c r="AL172" s="292"/>
      <c r="AM172" s="292"/>
      <c r="AN172" s="292"/>
    </row>
    <row r="173" spans="1:40" ht="45" x14ac:dyDescent="0.25">
      <c r="A173" s="296"/>
      <c r="B173" s="285" t="s">
        <v>131</v>
      </c>
      <c r="C173" s="166" t="s">
        <v>1188</v>
      </c>
      <c r="D173" s="434" t="s">
        <v>743</v>
      </c>
      <c r="E173" s="261" t="s">
        <v>51</v>
      </c>
      <c r="F173" s="261" t="s">
        <v>52</v>
      </c>
      <c r="G173" s="165" t="s">
        <v>744</v>
      </c>
      <c r="H173" s="165" t="s">
        <v>745</v>
      </c>
      <c r="I173" s="261" t="s">
        <v>746</v>
      </c>
      <c r="J173" s="296"/>
      <c r="K173" s="296"/>
      <c r="L173" s="296"/>
      <c r="M173" s="296"/>
      <c r="N173" s="296"/>
      <c r="O173" s="296"/>
      <c r="P173" s="296"/>
      <c r="Q173" s="225"/>
      <c r="R173" s="133"/>
      <c r="S173" s="133"/>
      <c r="T173" s="133"/>
      <c r="U173" s="133"/>
      <c r="V173" s="133"/>
      <c r="W173" s="133"/>
      <c r="X173" s="133"/>
      <c r="Y173" s="133"/>
      <c r="Z173" s="133"/>
      <c r="AJ173" s="292"/>
      <c r="AK173" s="292"/>
      <c r="AL173" s="292"/>
      <c r="AM173" s="292"/>
      <c r="AN173" s="292"/>
    </row>
    <row r="174" spans="1:40" x14ac:dyDescent="0.25">
      <c r="A174" s="296"/>
      <c r="B174" s="358" t="s">
        <v>1247</v>
      </c>
      <c r="C174" s="149">
        <f>'Inputs and eligible population'!F116</f>
        <v>6.24</v>
      </c>
      <c r="D174" s="128">
        <f>D$7*'Inputs and eligible population'!E$79*$C174</f>
        <v>0</v>
      </c>
      <c r="E174" s="128">
        <f>E$7*'Inputs and eligible population'!F$79*$C174</f>
        <v>1898.0945325236689</v>
      </c>
      <c r="F174" s="128">
        <f>F$7*'Inputs and eligible population'!G$79*$C174+(E$7*'Inputs and eligible population'!F$79*('Unit costs'!$O$61/'Unit costs'!$O$56)*$C174)</f>
        <v>4099.2132173775362</v>
      </c>
      <c r="G174" s="128">
        <f>G$7*'Inputs and eligible population'!H$79*$C174+(F$7*'Inputs and eligible population'!G$79*('Unit costs'!$O$61/'Unit costs'!$O$56)*$C174)</f>
        <v>4296.0521186904598</v>
      </c>
      <c r="H174" s="128">
        <f>H$7*'Inputs and eligible population'!I$79*$C174+(G$7*'Inputs and eligible population'!H$79*('Unit costs'!$O$61/'Unit costs'!$O$56)*$C174)</f>
        <v>4337.4738260738759</v>
      </c>
      <c r="I174" s="128">
        <f>I$7*'Inputs and eligible population'!J$79*$C174+(H$7*'Inputs and eligible population'!I$79*('Unit costs'!$O$61/'Unit costs'!$O$56)*$C174)</f>
        <v>4379.294913584712</v>
      </c>
      <c r="J174" s="296"/>
      <c r="K174" s="296"/>
      <c r="L174" s="296"/>
      <c r="M174" s="296"/>
      <c r="N174" s="296"/>
      <c r="O174" s="296"/>
      <c r="P174" s="296"/>
      <c r="Q174" s="225"/>
      <c r="R174" s="133"/>
      <c r="S174" s="133"/>
      <c r="T174" s="133"/>
      <c r="U174" s="133"/>
      <c r="V174" s="133"/>
      <c r="W174" s="133"/>
      <c r="X174" s="133"/>
      <c r="Y174" s="133"/>
      <c r="Z174" s="133"/>
      <c r="AJ174" s="292"/>
      <c r="AK174" s="292"/>
      <c r="AL174" s="292"/>
      <c r="AM174" s="292"/>
      <c r="AN174" s="292"/>
    </row>
    <row r="175" spans="1:40" x14ac:dyDescent="0.25">
      <c r="A175" s="296"/>
      <c r="B175" s="358" t="s">
        <v>1125</v>
      </c>
      <c r="C175" s="149">
        <f>'Inputs and eligible population'!G116</f>
        <v>6.24</v>
      </c>
      <c r="D175" s="128">
        <f>'Financial impact (cash)'!$D$40*$C$175+('Financial impact (cash)'!$D$40*('Unit costs'!$O$85/'Unit costs'!$O$80)*$C$175)</f>
        <v>7578.6219703559673</v>
      </c>
      <c r="E175" s="128">
        <f>'Financial impact (cash)'!$E$40*$C$175+('Financial impact (cash)'!$D$40*('Unit costs'!$O$85/'Unit costs'!$O$80)*$C$175)</f>
        <v>5694.2835975710068</v>
      </c>
      <c r="F175" s="128">
        <f>'Financial impact (cash)'!$F$40*$C$175+('Financial impact (cash)'!$E$40*('Unit costs'!$O$85/'Unit costs'!$O$80)*$C$175)</f>
        <v>3713.0164644495335</v>
      </c>
      <c r="G175" s="128">
        <f>'Financial impact (cash)'!$G$40*$C$175+('Financial impact (cash)'!$F$40*('Unit costs'!$O$85/'Unit costs'!$O$80)*$C$175)</f>
        <v>3748.8166543101547</v>
      </c>
      <c r="H175" s="128">
        <f>'Financial impact (cash)'!$G$40*$C$175+('Financial impact (cash)'!$H$40*('Unit costs'!$O$85/'Unit costs'!$O$80)*$C$175)</f>
        <v>3748.8166543101547</v>
      </c>
      <c r="I175" s="128">
        <f>'Financial impact (cash)'!$H$40*$C$175+('Financial impact (cash)'!$I$40*('Unit costs'!$O$85/'Unit costs'!$O$80)*$C$175)</f>
        <v>3784.9620227085825</v>
      </c>
      <c r="J175" s="296"/>
      <c r="K175" s="296"/>
      <c r="L175" s="296"/>
      <c r="M175" s="296"/>
      <c r="N175" s="296"/>
      <c r="O175" s="296"/>
      <c r="P175" s="296"/>
      <c r="Q175" s="225"/>
      <c r="R175" s="133"/>
      <c r="S175" s="133"/>
      <c r="T175" s="133"/>
      <c r="U175" s="133"/>
      <c r="V175" s="133"/>
      <c r="W175" s="133"/>
      <c r="X175" s="133"/>
      <c r="Y175" s="133"/>
      <c r="Z175" s="133"/>
      <c r="AJ175" s="292"/>
      <c r="AK175" s="292"/>
      <c r="AL175" s="292"/>
      <c r="AM175" s="292"/>
      <c r="AN175" s="292"/>
    </row>
    <row r="176" spans="1:40" x14ac:dyDescent="0.25">
      <c r="A176" s="296"/>
      <c r="B176" s="358" t="s">
        <v>1248</v>
      </c>
      <c r="C176" s="149">
        <f>'Inputs and eligible population'!H116</f>
        <v>6.24</v>
      </c>
      <c r="D176" s="128">
        <f>D$7*'Inputs and eligible population'!E$81*$C176</f>
        <v>763.73709778781063</v>
      </c>
      <c r="E176" s="128">
        <f>E$7*'Inputs and eligible population'!F$81*$C176</f>
        <v>830.41635797910521</v>
      </c>
      <c r="F176" s="128">
        <f>F$7*'Inputs and eligible population'!G$81*$C176</f>
        <v>838.42307261763688</v>
      </c>
      <c r="G176" s="128">
        <f>G$7*'Inputs and eligible population'!H$81*$C176</f>
        <v>846.5069864571318</v>
      </c>
      <c r="H176" s="128">
        <f>H$7*'Inputs and eligible population'!I$81*$C176</f>
        <v>854.66884383742206</v>
      </c>
      <c r="I176" s="128">
        <f>I$7*'Inputs and eligible population'!J$81*$C176</f>
        <v>862.90939627512103</v>
      </c>
      <c r="J176" s="296"/>
      <c r="K176" s="296"/>
      <c r="L176" s="296"/>
      <c r="M176" s="296"/>
      <c r="N176" s="296"/>
      <c r="O176" s="296"/>
      <c r="P176" s="296"/>
      <c r="Q176" s="225"/>
      <c r="R176" s="133"/>
      <c r="S176" s="133"/>
      <c r="T176" s="133"/>
      <c r="U176" s="133"/>
      <c r="V176" s="133"/>
      <c r="W176" s="133"/>
      <c r="X176" s="133"/>
      <c r="Y176" s="133"/>
      <c r="Z176" s="133"/>
      <c r="AJ176" s="292"/>
      <c r="AK176" s="292"/>
      <c r="AL176" s="292"/>
      <c r="AM176" s="292"/>
      <c r="AN176" s="292"/>
    </row>
    <row r="177" spans="1:40" x14ac:dyDescent="0.25">
      <c r="A177" s="296"/>
      <c r="B177" s="358" t="s">
        <v>1251</v>
      </c>
      <c r="C177" s="149">
        <f>'Inputs and eligible population'!I116</f>
        <v>6.24</v>
      </c>
      <c r="D177" s="128">
        <f>'Financial impact (cash)'!$D$42*$C$177+('Financial impact (cash)'!$D$42*('Unit costs'!$O$85/'Unit costs'!$O$80)*$C$177)</f>
        <v>3407.4424362840778</v>
      </c>
      <c r="E177" s="128">
        <f>'Financial impact (cash)'!$E$42*$C$177+('Financial impact (cash)'!$D$42*('Unit costs'!$O$85/'Unit costs'!$O$80)*$C$177)</f>
        <v>3440.2963401991497</v>
      </c>
      <c r="F177" s="128">
        <f>'Financial impact (cash)'!$F$42*$C$177+('Financial impact (cash)'!$E$42*('Unit costs'!$O$85/'Unit costs'!$O$80)*$C$177)</f>
        <v>3473.4670151302089</v>
      </c>
      <c r="G177" s="128">
        <f>'Financial impact (cash)'!$G$42*$C$177+('Financial impact (cash)'!$F$42*('Unit costs'!$O$85/'Unit costs'!$O$80)*$C$177)</f>
        <v>3506.9575153224023</v>
      </c>
      <c r="H177" s="128">
        <f>'Financial impact (cash)'!$G$42*$C$177+('Financial impact (cash)'!$H$42*('Unit costs'!$O$85/'Unit costs'!$O$80)*$C$177)</f>
        <v>3506.9575153224023</v>
      </c>
      <c r="I177" s="128">
        <f>'Financial impact (cash)'!$H$42*$C$177+('Financial impact (cash)'!$I$42*('Unit costs'!$O$85/'Unit costs'!$O$80)*$C$177)</f>
        <v>3540.7709244693187</v>
      </c>
      <c r="J177" s="296"/>
      <c r="K177" s="296"/>
      <c r="L177" s="296"/>
      <c r="M177" s="296"/>
      <c r="N177" s="296"/>
      <c r="O177" s="296"/>
      <c r="P177" s="296"/>
      <c r="Q177" s="225"/>
      <c r="R177" s="133"/>
      <c r="S177" s="133"/>
      <c r="T177" s="133"/>
      <c r="U177" s="133"/>
      <c r="V177" s="133"/>
      <c r="W177" s="133"/>
      <c r="X177" s="133"/>
      <c r="Y177" s="133"/>
      <c r="Z177" s="133"/>
      <c r="AJ177" s="292"/>
      <c r="AK177" s="292"/>
      <c r="AL177" s="292"/>
      <c r="AM177" s="292"/>
      <c r="AN177" s="292"/>
    </row>
    <row r="178" spans="1:40" x14ac:dyDescent="0.25">
      <c r="A178" s="296"/>
      <c r="B178" s="289"/>
      <c r="C178" s="209"/>
      <c r="D178" s="187">
        <f t="shared" ref="D178:I178" si="60">SUM(D174:D177)</f>
        <v>11749.801504427856</v>
      </c>
      <c r="E178" s="187">
        <f t="shared" si="60"/>
        <v>11863.090828272931</v>
      </c>
      <c r="F178" s="187">
        <f t="shared" si="60"/>
        <v>12124.119769574916</v>
      </c>
      <c r="G178" s="187">
        <f t="shared" si="60"/>
        <v>12398.333274780151</v>
      </c>
      <c r="H178" s="187">
        <f t="shared" si="60"/>
        <v>12447.916839543854</v>
      </c>
      <c r="I178" s="187">
        <f t="shared" si="60"/>
        <v>12567.937257037735</v>
      </c>
      <c r="J178" s="296"/>
      <c r="K178" s="296"/>
      <c r="L178" s="296"/>
      <c r="M178" s="296"/>
      <c r="N178" s="296"/>
      <c r="O178" s="296"/>
      <c r="P178" s="296"/>
      <c r="Q178" s="225"/>
      <c r="R178" s="133"/>
      <c r="S178" s="133"/>
      <c r="T178" s="133"/>
      <c r="U178" s="133"/>
      <c r="V178" s="133"/>
      <c r="W178" s="133"/>
      <c r="X178" s="133"/>
      <c r="Y178" s="133"/>
      <c r="Z178" s="133"/>
      <c r="AJ178" s="292"/>
      <c r="AK178" s="292"/>
      <c r="AL178" s="292"/>
      <c r="AM178" s="292"/>
      <c r="AN178" s="292"/>
    </row>
    <row r="179" spans="1:40" x14ac:dyDescent="0.25">
      <c r="A179" s="296"/>
      <c r="B179" s="312"/>
      <c r="C179" s="262"/>
      <c r="D179" s="291" t="s">
        <v>1189</v>
      </c>
      <c r="E179" s="187">
        <f>E178-$D$178</f>
        <v>113.28932384507425</v>
      </c>
      <c r="F179" s="187">
        <f>F178-$D$178</f>
        <v>374.31826514705972</v>
      </c>
      <c r="G179" s="187">
        <f>G178-$D$178</f>
        <v>648.53177035229419</v>
      </c>
      <c r="H179" s="187">
        <f>H178-$D$178</f>
        <v>698.11533511599737</v>
      </c>
      <c r="I179" s="187">
        <f>I178-$D$178</f>
        <v>818.13575260987818</v>
      </c>
      <c r="J179" s="296"/>
      <c r="K179" s="296"/>
      <c r="L179" s="296"/>
      <c r="M179" s="296"/>
      <c r="N179" s="296"/>
      <c r="O179" s="296"/>
      <c r="P179" s="296"/>
      <c r="Q179" s="225"/>
      <c r="V179" s="133"/>
    </row>
    <row r="180" spans="1:40" x14ac:dyDescent="0.25">
      <c r="A180" s="296"/>
      <c r="B180" s="296"/>
      <c r="C180" s="225"/>
      <c r="D180" s="296"/>
      <c r="E180" s="296"/>
      <c r="F180" s="296"/>
      <c r="G180" s="296"/>
      <c r="H180" s="296"/>
      <c r="I180" s="225"/>
      <c r="J180" s="225"/>
      <c r="K180" s="225"/>
      <c r="L180" s="296"/>
      <c r="M180" s="296"/>
      <c r="N180" s="296"/>
      <c r="O180" s="296"/>
      <c r="P180" s="296"/>
      <c r="Q180" s="225"/>
      <c r="V180" s="133"/>
    </row>
    <row r="181" spans="1:40" x14ac:dyDescent="0.25">
      <c r="A181" s="296"/>
      <c r="B181" s="409" t="s">
        <v>1190</v>
      </c>
      <c r="C181" s="410"/>
      <c r="D181" s="410"/>
      <c r="E181" s="410"/>
      <c r="F181" s="410"/>
      <c r="G181" s="410"/>
      <c r="H181" s="410"/>
      <c r="I181" s="224"/>
      <c r="J181" s="225"/>
      <c r="K181" s="225"/>
      <c r="L181" s="296"/>
      <c r="M181" s="296"/>
      <c r="N181" s="296"/>
      <c r="O181" s="296"/>
      <c r="P181" s="296"/>
      <c r="Q181" s="225"/>
      <c r="V181" s="133"/>
    </row>
    <row r="182" spans="1:40" ht="60" x14ac:dyDescent="0.25">
      <c r="A182" s="296"/>
      <c r="B182" s="285" t="s">
        <v>131</v>
      </c>
      <c r="C182" s="166" t="s">
        <v>1191</v>
      </c>
      <c r="D182" s="434" t="s">
        <v>743</v>
      </c>
      <c r="E182" s="261" t="s">
        <v>51</v>
      </c>
      <c r="F182" s="261" t="s">
        <v>52</v>
      </c>
      <c r="G182" s="165" t="s">
        <v>744</v>
      </c>
      <c r="H182" s="165" t="s">
        <v>745</v>
      </c>
      <c r="I182" s="261" t="s">
        <v>746</v>
      </c>
      <c r="J182" s="296"/>
      <c r="K182" s="296"/>
      <c r="L182" s="296"/>
      <c r="M182" s="296"/>
      <c r="N182" s="296"/>
      <c r="O182" s="296"/>
      <c r="P182" s="296"/>
      <c r="Q182" s="225"/>
      <c r="V182" s="133"/>
    </row>
    <row r="183" spans="1:40" x14ac:dyDescent="0.25">
      <c r="A183" s="296"/>
      <c r="B183" s="358" t="s">
        <v>1247</v>
      </c>
      <c r="C183" s="149">
        <f>'Inputs and eligible population'!F118</f>
        <v>6.76</v>
      </c>
      <c r="D183" s="128">
        <f>D$7*'Inputs and eligible population'!E$79*$C183</f>
        <v>0</v>
      </c>
      <c r="E183" s="128">
        <f>E$7*'Inputs and eligible population'!F$79*$C183</f>
        <v>2056.2690769006413</v>
      </c>
      <c r="F183" s="128">
        <f>F$7*'Inputs and eligible population'!G$79*$C183+(E$7*'Inputs and eligible population'!F$79*('Unit costs'!$O$61/'Unit costs'!$O$56)*$C183)</f>
        <v>4440.8143188256645</v>
      </c>
      <c r="G183" s="128">
        <f>G$7*'Inputs and eligible population'!H$79*$C183+(F$7*'Inputs and eligible population'!G$79*('Unit costs'!$O$61/'Unit costs'!$O$56)*$C183)</f>
        <v>4654.0564619146644</v>
      </c>
      <c r="H183" s="128">
        <f>H$7*'Inputs and eligible population'!I$79*$C183+(G$7*'Inputs and eligible population'!H$79*('Unit costs'!$O$61/'Unit costs'!$O$56)*$C183)</f>
        <v>4698.9299782466996</v>
      </c>
      <c r="I183" s="128">
        <f>I$7*'Inputs and eligible population'!J$79*$C183+(H$7*'Inputs and eligible population'!I$79*('Unit costs'!$O$61/'Unit costs'!$O$56)*$C183)</f>
        <v>4744.2361563834374</v>
      </c>
      <c r="J183" s="296"/>
      <c r="K183" s="296"/>
      <c r="L183" s="296"/>
      <c r="M183" s="296"/>
      <c r="N183" s="296"/>
      <c r="O183" s="296"/>
      <c r="P183" s="296"/>
      <c r="Q183" s="225"/>
      <c r="V183" s="133"/>
    </row>
    <row r="184" spans="1:40" x14ac:dyDescent="0.25">
      <c r="A184" s="296"/>
      <c r="B184" s="358" t="s">
        <v>1125</v>
      </c>
      <c r="C184" s="149">
        <f>'Inputs and eligible population'!G118</f>
        <v>6.76</v>
      </c>
      <c r="D184" s="128">
        <f>'Financial impact (cash)'!$D$40*$C$184+('Financial impact (cash)'!$D$40*('Unit costs'!$O$85/'Unit costs'!$O$80)*$C$184)</f>
        <v>8210.1738012189635</v>
      </c>
      <c r="E184" s="128">
        <f>'Financial impact (cash)'!$E$40*$C$184+('Financial impact (cash)'!$D$40*('Unit costs'!$O$85/'Unit costs'!$O$80)*$C$184)</f>
        <v>6168.8072307019238</v>
      </c>
      <c r="F184" s="128">
        <f>'Financial impact (cash)'!$F$40*$C$184+('Financial impact (cash)'!$E$40*('Unit costs'!$O$85/'Unit costs'!$O$80)*$C$184)</f>
        <v>4022.4345031536614</v>
      </c>
      <c r="G184" s="128">
        <f>'Financial impact (cash)'!$G$40*$C$184+('Financial impact (cash)'!$F$40*('Unit costs'!$O$85/'Unit costs'!$O$80)*$C$184)</f>
        <v>4061.2180421693338</v>
      </c>
      <c r="H184" s="128">
        <f>'Financial impact (cash)'!$G$40*$C$184+('Financial impact (cash)'!$H$40*('Unit costs'!$O$85/'Unit costs'!$O$80)*$C$184)</f>
        <v>4061.2180421693338</v>
      </c>
      <c r="I184" s="128">
        <f>'Financial impact (cash)'!$H$40*$C$184+('Financial impact (cash)'!$I$40*('Unit costs'!$O$85/'Unit costs'!$O$80)*$C$184)</f>
        <v>4100.3755246009641</v>
      </c>
      <c r="J184" s="296"/>
      <c r="K184" s="296"/>
      <c r="L184" s="296"/>
      <c r="M184" s="296"/>
      <c r="N184" s="296"/>
      <c r="O184" s="296"/>
      <c r="P184" s="296"/>
      <c r="Q184" s="225"/>
      <c r="V184" s="133"/>
    </row>
    <row r="185" spans="1:40" x14ac:dyDescent="0.25">
      <c r="A185" s="296"/>
      <c r="B185" s="358" t="s">
        <v>1248</v>
      </c>
      <c r="C185" s="149">
        <f>'Inputs and eligible population'!H118</f>
        <v>6.76</v>
      </c>
      <c r="D185" s="128">
        <f>D$7*'Inputs and eligible population'!E$81*$C185</f>
        <v>827.38185593679475</v>
      </c>
      <c r="E185" s="128">
        <f>E$7*'Inputs and eligible population'!F$81*$C185</f>
        <v>899.61772114403061</v>
      </c>
      <c r="F185" s="128">
        <f>F$7*'Inputs and eligible population'!G$81*$C185</f>
        <v>908.29166200243981</v>
      </c>
      <c r="G185" s="128">
        <f>G$7*'Inputs and eligible population'!H$81*$C185</f>
        <v>917.04923532855946</v>
      </c>
      <c r="H185" s="128">
        <f>H$7*'Inputs and eligible population'!I$81*$C185</f>
        <v>925.89124749054042</v>
      </c>
      <c r="I185" s="128">
        <f>I$7*'Inputs and eligible population'!J$81*$C185</f>
        <v>934.81851263138105</v>
      </c>
      <c r="J185" s="296"/>
      <c r="K185" s="296"/>
      <c r="L185" s="296"/>
      <c r="M185" s="296"/>
      <c r="N185" s="296"/>
      <c r="O185" s="296"/>
      <c r="P185" s="296"/>
      <c r="Q185" s="225"/>
      <c r="V185" s="133"/>
    </row>
    <row r="186" spans="1:40" x14ac:dyDescent="0.25">
      <c r="A186" s="296"/>
      <c r="B186" s="358" t="s">
        <v>1251</v>
      </c>
      <c r="C186" s="149">
        <f>'Inputs and eligible population'!I118</f>
        <v>6.76</v>
      </c>
      <c r="D186" s="128">
        <f>'Financial impact (cash)'!$D$42*$C$186+('Financial impact (cash)'!$D$42*('Unit costs'!$O$85/'Unit costs'!$O$80)*$C$186)</f>
        <v>3691.395972641084</v>
      </c>
      <c r="E186" s="128">
        <f>'Financial impact (cash)'!$E$42*$C$186+('Financial impact (cash)'!$D$42*('Unit costs'!$O$85/'Unit costs'!$O$80)*$C$186)</f>
        <v>3726.9877018824122</v>
      </c>
      <c r="F186" s="128">
        <f>'Financial impact (cash)'!$F$42*$C$186+('Financial impact (cash)'!$E$42*('Unit costs'!$O$85/'Unit costs'!$O$80)*$C$186)</f>
        <v>3762.9225997243925</v>
      </c>
      <c r="G186" s="128">
        <f>'Financial impact (cash)'!$G$42*$C$186+('Financial impact (cash)'!$F$42*('Unit costs'!$O$85/'Unit costs'!$O$80)*$C$186)</f>
        <v>3799.2039749326023</v>
      </c>
      <c r="H186" s="128">
        <f>'Financial impact (cash)'!$G$42*$C$186+('Financial impact (cash)'!$H$42*('Unit costs'!$O$85/'Unit costs'!$O$80)*$C$186)</f>
        <v>3799.2039749326023</v>
      </c>
      <c r="I186" s="128">
        <f>'Financial impact (cash)'!$H$42*$C$186+('Financial impact (cash)'!$I$42*('Unit costs'!$O$85/'Unit costs'!$O$80)*$C$186)</f>
        <v>3835.8351681750951</v>
      </c>
      <c r="J186" s="296"/>
      <c r="K186" s="296"/>
      <c r="L186" s="296"/>
      <c r="M186" s="296"/>
      <c r="N186" s="296"/>
      <c r="O186" s="296"/>
      <c r="P186" s="296"/>
      <c r="Q186" s="225"/>
      <c r="V186" s="133"/>
    </row>
    <row r="187" spans="1:40" x14ac:dyDescent="0.25">
      <c r="A187" s="296"/>
      <c r="B187" s="289"/>
      <c r="C187" s="209"/>
      <c r="D187" s="187">
        <f t="shared" ref="D187:I187" si="61">SUM(D183:D186)</f>
        <v>12728.951629796844</v>
      </c>
      <c r="E187" s="187">
        <f t="shared" si="61"/>
        <v>12851.681730629007</v>
      </c>
      <c r="F187" s="187">
        <f t="shared" si="61"/>
        <v>13134.46308370616</v>
      </c>
      <c r="G187" s="187">
        <f t="shared" si="61"/>
        <v>13431.52771434516</v>
      </c>
      <c r="H187" s="187">
        <f t="shared" si="61"/>
        <v>13485.243242839177</v>
      </c>
      <c r="I187" s="187">
        <f t="shared" si="61"/>
        <v>13615.265361790878</v>
      </c>
      <c r="J187" s="296"/>
      <c r="K187" s="296"/>
      <c r="L187" s="296"/>
      <c r="M187" s="296"/>
      <c r="N187" s="296"/>
      <c r="O187" s="296"/>
      <c r="P187" s="296"/>
      <c r="Q187" s="225"/>
      <c r="V187" s="133"/>
    </row>
    <row r="188" spans="1:40" x14ac:dyDescent="0.25">
      <c r="A188" s="296"/>
      <c r="B188" s="312"/>
      <c r="C188" s="262"/>
      <c r="D188" s="291" t="s">
        <v>1192</v>
      </c>
      <c r="E188" s="187">
        <f>E187-$D$187</f>
        <v>122.73010083216286</v>
      </c>
      <c r="F188" s="187">
        <f>F187-$D$187</f>
        <v>405.51145390931561</v>
      </c>
      <c r="G188" s="187">
        <f>G187-$D$187</f>
        <v>702.57608454831643</v>
      </c>
      <c r="H188" s="187">
        <f>H187-$D$187</f>
        <v>756.29161304233276</v>
      </c>
      <c r="I188" s="187">
        <f>I187-$D$187</f>
        <v>886.31373199403424</v>
      </c>
      <c r="J188" s="296"/>
      <c r="K188" s="296"/>
      <c r="L188" s="296"/>
      <c r="M188" s="296"/>
      <c r="N188" s="296"/>
      <c r="O188" s="296"/>
      <c r="P188" s="296"/>
      <c r="Q188" s="225"/>
      <c r="V188" s="133"/>
    </row>
    <row r="189" spans="1:40" x14ac:dyDescent="0.25">
      <c r="A189" s="296"/>
      <c r="B189" s="296"/>
      <c r="C189" s="225"/>
      <c r="D189" s="296"/>
      <c r="E189" s="296"/>
      <c r="F189" s="296"/>
      <c r="G189" s="296"/>
      <c r="H189" s="296"/>
      <c r="I189" s="225"/>
      <c r="J189" s="225"/>
      <c r="K189" s="225"/>
      <c r="L189" s="225"/>
      <c r="M189" s="225"/>
      <c r="N189" s="225"/>
      <c r="O189" s="225"/>
      <c r="P189" s="225"/>
      <c r="Q189" s="225"/>
      <c r="V189" s="133"/>
    </row>
    <row r="190" spans="1:40" x14ac:dyDescent="0.25">
      <c r="A190" s="297"/>
      <c r="B190" s="336" t="s">
        <v>103</v>
      </c>
      <c r="C190" s="322"/>
      <c r="D190" s="323"/>
      <c r="E190" s="324"/>
      <c r="F190" s="325"/>
      <c r="G190" s="325"/>
      <c r="H190" s="325"/>
      <c r="I190" s="444"/>
      <c r="J190" s="450"/>
      <c r="K190" s="297"/>
      <c r="L190" s="297"/>
      <c r="M190" s="297"/>
      <c r="N190" s="297"/>
      <c r="O190" s="297"/>
      <c r="P190" s="297"/>
      <c r="Q190" s="297"/>
      <c r="R190" s="133"/>
      <c r="S190" s="133"/>
      <c r="T190" s="133"/>
      <c r="U190" s="133"/>
      <c r="V190" s="133"/>
      <c r="W190" s="133"/>
      <c r="X190" s="133"/>
      <c r="Y190" s="133"/>
      <c r="Z190" s="133"/>
      <c r="AJ190" s="292"/>
      <c r="AK190" s="292"/>
      <c r="AL190" s="292"/>
      <c r="AM190" s="292"/>
      <c r="AN190" s="292"/>
    </row>
    <row r="191" spans="1:40" x14ac:dyDescent="0.25">
      <c r="A191" s="297"/>
      <c r="B191" s="411" t="s">
        <v>777</v>
      </c>
      <c r="C191" s="412"/>
      <c r="D191" s="412"/>
      <c r="E191" s="412"/>
      <c r="F191" s="412"/>
      <c r="G191" s="412"/>
      <c r="H191" s="412"/>
      <c r="I191" s="226"/>
      <c r="J191" s="448"/>
      <c r="K191" s="448"/>
      <c r="L191" s="449"/>
      <c r="M191" s="449"/>
      <c r="N191" s="449"/>
      <c r="O191" s="449"/>
      <c r="P191" s="449"/>
      <c r="Q191" s="449"/>
      <c r="R191" s="133"/>
      <c r="S191" s="133"/>
      <c r="T191" s="133"/>
      <c r="U191" s="133"/>
      <c r="V191" s="133"/>
      <c r="W191" s="133"/>
      <c r="X191" s="133"/>
      <c r="Y191" s="133"/>
      <c r="Z191" s="133"/>
      <c r="AJ191" s="292"/>
      <c r="AK191" s="292"/>
      <c r="AL191" s="292"/>
      <c r="AM191" s="292"/>
      <c r="AN191" s="292"/>
    </row>
    <row r="192" spans="1:40" ht="45" x14ac:dyDescent="0.25">
      <c r="A192" s="297"/>
      <c r="B192" s="285" t="s">
        <v>131</v>
      </c>
      <c r="C192" s="211"/>
      <c r="D192" s="434" t="s">
        <v>743</v>
      </c>
      <c r="E192" s="261" t="s">
        <v>51</v>
      </c>
      <c r="F192" s="261" t="s">
        <v>52</v>
      </c>
      <c r="G192" s="165" t="s">
        <v>744</v>
      </c>
      <c r="H192" s="165" t="s">
        <v>745</v>
      </c>
      <c r="I192" s="261" t="s">
        <v>746</v>
      </c>
      <c r="J192" s="297"/>
      <c r="K192" s="297"/>
      <c r="L192" s="434" t="s">
        <v>743</v>
      </c>
      <c r="M192" s="261" t="s">
        <v>51</v>
      </c>
      <c r="N192" s="261" t="s">
        <v>52</v>
      </c>
      <c r="O192" s="165" t="s">
        <v>744</v>
      </c>
      <c r="P192" s="165" t="s">
        <v>745</v>
      </c>
      <c r="Q192" s="261" t="s">
        <v>746</v>
      </c>
      <c r="R192" s="133"/>
      <c r="S192" s="133"/>
      <c r="T192" s="133"/>
      <c r="U192" s="133"/>
      <c r="V192" s="133"/>
      <c r="W192" s="133"/>
      <c r="X192" s="133"/>
      <c r="Y192" s="133"/>
      <c r="Z192" s="133"/>
      <c r="AJ192" s="292"/>
      <c r="AK192" s="292"/>
      <c r="AL192" s="292"/>
      <c r="AM192" s="292"/>
      <c r="AN192" s="292"/>
    </row>
    <row r="193" spans="1:40" x14ac:dyDescent="0.25">
      <c r="A193" s="297"/>
      <c r="B193" s="253" t="s">
        <v>1106</v>
      </c>
      <c r="C193" s="168"/>
      <c r="D193" s="128">
        <f>('Unit costs'!$C157*'Financial impact (cash)'!D$39)+('Unit costs'!$E157*'Financial impact (cash)'!D$41)+('Unit costs'!$F157*'Financial impact (cash)'!D$42)+('Unit costs'!$D157*'Financial impact (cash)'!D$40)</f>
        <v>82.103535798306595</v>
      </c>
      <c r="E193" s="128">
        <f>('Unit costs'!$C157*'Financial impact (cash)'!E$39)+('Unit costs'!$E157*'Financial impact (cash)'!E$41)+('Unit costs'!$F157*'Financial impact (cash)'!E$42)+('Unit costs'!$D157*'Financial impact (cash)'!E$40)</f>
        <v>134.3720850088153</v>
      </c>
      <c r="F193" s="128">
        <f>('Unit costs'!$C157*'Financial impact (cash)'!F$39)+('Unit costs'!$E157*'Financial impact (cash)'!F$41)+('Unit costs'!$F157*'Financial impact (cash)'!F$42)+('Unit costs'!$D157*'Financial impact (cash)'!F$40)</f>
        <v>189.2158751548105</v>
      </c>
      <c r="G193" s="128">
        <f>('Unit costs'!$C157*'Financial impact (cash)'!G$39)+('Unit costs'!$E157*'Financial impact (cash)'!G$41)+('Unit costs'!$F157*'Financial impact (cash)'!G$42)+('Unit costs'!$D157*'Financial impact (cash)'!G$40)</f>
        <v>191.04025819217205</v>
      </c>
      <c r="H193" s="128">
        <f>('Unit costs'!$C157*'Financial impact (cash)'!H$39)+('Unit costs'!$E157*'Financial impact (cash)'!H$41)+('Unit costs'!$F157*'Financial impact (cash)'!H$42)+('Unit costs'!$D157*'Financial impact (cash)'!H$40)</f>
        <v>192.88223157952021</v>
      </c>
      <c r="I193" s="128">
        <f>('Unit costs'!$C157*'Financial impact (cash)'!I$39)+('Unit costs'!$E157*'Financial impact (cash)'!I$41)+('Unit costs'!$F157*'Financial impact (cash)'!I$42)+('Unit costs'!$D157*'Financial impact (cash)'!I$40)</f>
        <v>194.74196491962286</v>
      </c>
      <c r="J193" s="297"/>
      <c r="K193" s="297"/>
      <c r="L193" s="299">
        <f>(D193*'Unit costs'!$I137)/1000</f>
        <v>71.063023320395473</v>
      </c>
      <c r="M193" s="299">
        <f>(E193*'Unit costs'!$I137)/1000</f>
        <v>116.30298887552357</v>
      </c>
      <c r="N193" s="299">
        <f>(F193*'Unit costs'!$I137)/1000</f>
        <v>163.77190114865513</v>
      </c>
      <c r="O193" s="299">
        <f>(G193*'Unit costs'!$I137)/1000</f>
        <v>165.35095828753211</v>
      </c>
      <c r="P193" s="299">
        <f>(H193*'Unit costs'!$I137)/1000</f>
        <v>166.94524039131662</v>
      </c>
      <c r="Q193" s="299">
        <f>(I193*'Unit costs'!$I137)/1000</f>
        <v>168.55489425618896</v>
      </c>
      <c r="R193" s="711"/>
      <c r="S193" s="133"/>
      <c r="T193" s="133"/>
      <c r="U193" s="133"/>
      <c r="V193" s="133"/>
      <c r="W193" s="133"/>
      <c r="X193" s="133"/>
      <c r="Y193" s="133"/>
      <c r="Z193" s="133"/>
      <c r="AJ193" s="292"/>
      <c r="AK193" s="292"/>
      <c r="AL193" s="292"/>
      <c r="AM193" s="292"/>
      <c r="AN193" s="292"/>
    </row>
    <row r="194" spans="1:40" x14ac:dyDescent="0.25">
      <c r="A194" s="297"/>
      <c r="B194" s="253" t="s">
        <v>1107</v>
      </c>
      <c r="C194" s="168"/>
      <c r="D194" s="128">
        <f>('Unit costs'!$C158*'Financial impact (cash)'!D$39)+('Unit costs'!$E158*'Financial impact (cash)'!D$41)+('Unit costs'!$F158*'Financial impact (cash)'!D$42)+('Unit costs'!$D158*'Financial impact (cash)'!D$40)</f>
        <v>10.042565388399876</v>
      </c>
      <c r="E194" s="128">
        <f>('Unit costs'!$C158*'Financial impact (cash)'!E$39)+('Unit costs'!$E158*'Financial impact (cash)'!E$41)+('Unit costs'!$F158*'Financial impact (cash)'!E$42)+('Unit costs'!$D158*'Financial impact (cash)'!E$40)</f>
        <v>35.877855233435554</v>
      </c>
      <c r="F194" s="128">
        <f>('Unit costs'!$C158*'Financial impact (cash)'!F$39)+('Unit costs'!$E158*'Financial impact (cash)'!F$41)+('Unit costs'!$F158*'Financial impact (cash)'!F$42)+('Unit costs'!$D158*'Financial impact (cash)'!F$40)</f>
        <v>62.997882792721825</v>
      </c>
      <c r="G194" s="128">
        <f>('Unit costs'!$C158*'Financial impact (cash)'!G$39)+('Unit costs'!$E158*'Financial impact (cash)'!G$41)+('Unit costs'!$F158*'Financial impact (cash)'!G$42)+('Unit costs'!$D158*'Financial impact (cash)'!G$40)</f>
        <v>63.605296249244432</v>
      </c>
      <c r="H194" s="128">
        <f>('Unit costs'!$C158*'Financial impact (cash)'!H$39)+('Unit costs'!$E158*'Financial impact (cash)'!H$41)+('Unit costs'!$F158*'Financial impact (cash)'!H$42)+('Unit costs'!$D158*'Financial impact (cash)'!H$40)</f>
        <v>64.218566269365795</v>
      </c>
      <c r="I194" s="128">
        <f>('Unit costs'!$C158*'Financial impact (cash)'!I$39)+('Unit costs'!$E158*'Financial impact (cash)'!I$41)+('Unit costs'!$F158*'Financial impact (cash)'!I$42)+('Unit costs'!$D158*'Financial impact (cash)'!I$40)</f>
        <v>64.837749320944567</v>
      </c>
      <c r="J194" s="297"/>
      <c r="K194" s="297"/>
      <c r="L194" s="299">
        <f>(D194*'Unit costs'!$I138)/1000</f>
        <v>20.238424896207853</v>
      </c>
      <c r="M194" s="299">
        <f>(E194*'Unit costs'!$I138)/1000</f>
        <v>72.303365773214807</v>
      </c>
      <c r="N194" s="299">
        <f>(F194*'Unit costs'!$I138)/1000</f>
        <v>126.95739287825074</v>
      </c>
      <c r="O194" s="299">
        <f>(G194*'Unit costs'!$I138)/1000</f>
        <v>128.18149161650527</v>
      </c>
      <c r="P194" s="299">
        <f>(H194*'Unit costs'!$I138)/1000</f>
        <v>129.41739287911079</v>
      </c>
      <c r="Q194" s="299">
        <f>(I194*'Unit costs'!$I138)/1000</f>
        <v>130.66521046373481</v>
      </c>
      <c r="R194" s="711"/>
      <c r="S194" s="133"/>
      <c r="T194" s="133"/>
      <c r="U194" s="133"/>
      <c r="V194" s="133"/>
      <c r="W194" s="133"/>
      <c r="X194" s="133"/>
      <c r="Y194" s="133"/>
      <c r="Z194" s="133"/>
      <c r="AJ194" s="292"/>
      <c r="AK194" s="292"/>
      <c r="AL194" s="292"/>
      <c r="AM194" s="292"/>
      <c r="AN194" s="292"/>
    </row>
    <row r="195" spans="1:40" x14ac:dyDescent="0.25">
      <c r="A195" s="297"/>
      <c r="B195" s="253" t="s">
        <v>1108</v>
      </c>
      <c r="C195" s="168"/>
      <c r="D195" s="128">
        <f>('Unit costs'!$C159*'Financial impact (cash)'!D$39)+('Unit costs'!$E159*'Financial impact (cash)'!D$41)+('Unit costs'!$F159*'Financial impact (cash)'!D$42)+('Unit costs'!$D159*'Financial impact (cash)'!D$40)</f>
        <v>42.548763882431047</v>
      </c>
      <c r="E195" s="128">
        <f>('Unit costs'!$C159*'Financial impact (cash)'!E$39)+('Unit costs'!$E159*'Financial impact (cash)'!E$41)+('Unit costs'!$F159*'Financial impact (cash)'!E$42)+('Unit costs'!$D159*'Financial impact (cash)'!E$40)</f>
        <v>78.349395245899245</v>
      </c>
      <c r="F195" s="128">
        <f>('Unit costs'!$C159*'Financial impact (cash)'!F$39)+('Unit costs'!$E159*'Financial impact (cash)'!F$41)+('Unit costs'!$F159*'Financial impact (cash)'!F$42)+('Unit costs'!$D159*'Financial impact (cash)'!F$40)</f>
        <v>115.91921278677229</v>
      </c>
      <c r="G195" s="128">
        <f>('Unit costs'!$C159*'Financial impact (cash)'!G$39)+('Unit costs'!$E159*'Financial impact (cash)'!G$41)+('Unit costs'!$F159*'Financial impact (cash)'!G$42)+('Unit costs'!$D159*'Financial impact (cash)'!G$40)</f>
        <v>117.03688351783256</v>
      </c>
      <c r="H195" s="128">
        <f>('Unit costs'!$C159*'Financial impact (cash)'!H$39)+('Unit costs'!$E159*'Financial impact (cash)'!H$41)+('Unit costs'!$F159*'Financial impact (cash)'!H$42)+('Unit costs'!$D159*'Financial impact (cash)'!H$40)</f>
        <v>118.16533061488975</v>
      </c>
      <c r="I195" s="128">
        <f>('Unit costs'!$C159*'Financial impact (cash)'!I$39)+('Unit costs'!$E159*'Financial impact (cash)'!I$41)+('Unit costs'!$F159*'Financial impact (cash)'!I$42)+('Unit costs'!$D159*'Financial impact (cash)'!I$40)</f>
        <v>119.30465798159003</v>
      </c>
      <c r="J195" s="297"/>
      <c r="K195" s="297"/>
      <c r="L195" s="299">
        <f>(D195*'Unit costs'!$I139)/1000</f>
        <v>34.765657360150783</v>
      </c>
      <c r="M195" s="299">
        <f>(E195*'Unit costs'!$I139)/1000</f>
        <v>64.017564341479755</v>
      </c>
      <c r="N195" s="299">
        <f>(F195*'Unit costs'!$I139)/1000</f>
        <v>94.715034362429009</v>
      </c>
      <c r="O195" s="299">
        <f>(G195*'Unit costs'!$I139)/1000</f>
        <v>95.628258487690971</v>
      </c>
      <c r="P195" s="299">
        <f>(H195*'Unit costs'!$I139)/1000</f>
        <v>96.550287744140078</v>
      </c>
      <c r="Q195" s="299">
        <f>(I195*'Unit costs'!$I139)/1000</f>
        <v>97.481207029156025</v>
      </c>
      <c r="R195" s="711"/>
      <c r="S195" s="133"/>
      <c r="T195" s="133"/>
      <c r="U195" s="133"/>
      <c r="V195" s="133"/>
      <c r="W195" s="133"/>
      <c r="X195" s="133"/>
      <c r="Y195" s="133"/>
      <c r="Z195" s="133"/>
      <c r="AJ195" s="292"/>
      <c r="AK195" s="292"/>
      <c r="AL195" s="292"/>
      <c r="AM195" s="292"/>
      <c r="AN195" s="292"/>
    </row>
    <row r="196" spans="1:40" x14ac:dyDescent="0.25">
      <c r="A196" s="297"/>
      <c r="B196" s="253" t="s">
        <v>1109</v>
      </c>
      <c r="C196" s="168"/>
      <c r="D196" s="128">
        <f>('Unit costs'!$C160*'Financial impact (cash)'!D$39)+('Unit costs'!$E160*'Financial impact (cash)'!D$41)+('Unit costs'!$F160*'Financial impact (cash)'!D$42)+('Unit costs'!$D160*'Financial impact (cash)'!D$40)</f>
        <v>371.82397376577461</v>
      </c>
      <c r="E196" s="128">
        <f>('Unit costs'!$C160*'Financial impact (cash)'!E$39)+('Unit costs'!$E160*'Financial impact (cash)'!E$41)+('Unit costs'!$F160*'Financial impact (cash)'!E$42)+('Unit costs'!$D160*'Financial impact (cash)'!E$40)</f>
        <v>316.45883248250499</v>
      </c>
      <c r="F196" s="128">
        <f>('Unit costs'!$C160*'Financial impact (cash)'!F$39)+('Unit costs'!$E160*'Financial impact (cash)'!F$41)+('Unit costs'!$F160*'Financial impact (cash)'!F$42)+('Unit costs'!$D160*'Financial impact (cash)'!F$40)</f>
        <v>258.18789130165146</v>
      </c>
      <c r="G196" s="128">
        <f>('Unit costs'!$C160*'Financial impact (cash)'!G$39)+('Unit costs'!$E160*'Financial impact (cash)'!G$41)+('Unit costs'!$F160*'Financial impact (cash)'!G$42)+('Unit costs'!$D160*'Financial impact (cash)'!G$40)</f>
        <v>260.67728923909988</v>
      </c>
      <c r="H196" s="128">
        <f>('Unit costs'!$C160*'Financial impact (cash)'!H$39)+('Unit costs'!$E160*'Financial impact (cash)'!H$41)+('Unit costs'!$F160*'Financial impact (cash)'!H$42)+('Unit costs'!$D160*'Financial impact (cash)'!H$40)</f>
        <v>263.19068947216215</v>
      </c>
      <c r="I196" s="128">
        <f>('Unit costs'!$C160*'Financial impact (cash)'!I$39)+('Unit costs'!$E160*'Financial impact (cash)'!I$41)+('Unit costs'!$F160*'Financial impact (cash)'!I$42)+('Unit costs'!$D160*'Financial impact (cash)'!I$40)</f>
        <v>265.72832342635138</v>
      </c>
      <c r="J196" s="297"/>
      <c r="K196" s="297"/>
      <c r="L196" s="299">
        <f>(D196*'Unit costs'!$I140)/1000</f>
        <v>528.90588495449458</v>
      </c>
      <c r="M196" s="299">
        <f>(E196*'Unit costs'!$I140)/1000</f>
        <v>450.15101406899123</v>
      </c>
      <c r="N196" s="299">
        <f>(F196*'Unit costs'!$I140)/1000</f>
        <v>367.26275003304943</v>
      </c>
      <c r="O196" s="299">
        <f>(G196*'Unit costs'!$I140)/1000</f>
        <v>370.80382675754129</v>
      </c>
      <c r="P196" s="299">
        <f>(H196*'Unit costs'!$I140)/1000</f>
        <v>374.37904586202546</v>
      </c>
      <c r="Q196" s="299">
        <f>(I196*'Unit costs'!$I140)/1000</f>
        <v>377.98873654075646</v>
      </c>
      <c r="R196" s="711"/>
      <c r="S196" s="133"/>
      <c r="T196" s="133"/>
      <c r="U196" s="133"/>
      <c r="V196" s="133"/>
      <c r="W196" s="133"/>
      <c r="X196" s="133"/>
      <c r="Y196" s="133"/>
      <c r="Z196" s="133"/>
      <c r="AJ196" s="292"/>
      <c r="AK196" s="292"/>
      <c r="AL196" s="292"/>
      <c r="AM196" s="292"/>
      <c r="AN196" s="292"/>
    </row>
    <row r="197" spans="1:40" x14ac:dyDescent="0.25">
      <c r="A197" s="297"/>
      <c r="B197" s="253" t="s">
        <v>1110</v>
      </c>
      <c r="C197" s="168"/>
      <c r="D197" s="128">
        <f>('Unit costs'!$C161*'Financial impact (cash)'!D$39)+('Unit costs'!$E161*'Financial impact (cash)'!D$41)+('Unit costs'!$F161*'Financial impact (cash)'!D$42)+('Unit costs'!$D161*'Financial impact (cash)'!D$40)</f>
        <v>326.06640302498852</v>
      </c>
      <c r="E197" s="128">
        <f>('Unit costs'!$C161*'Financial impact (cash)'!E$39)+('Unit costs'!$E161*'Financial impact (cash)'!E$41)+('Unit costs'!$F161*'Financial impact (cash)'!E$42)+('Unit costs'!$D161*'Financial impact (cash)'!E$40)</f>
        <v>296.112536508419</v>
      </c>
      <c r="F197" s="128">
        <f>('Unit costs'!$C161*'Financial impact (cash)'!F$39)+('Unit costs'!$E161*'Financial impact (cash)'!F$41)+('Unit costs'!$F161*'Financial impact (cash)'!F$42)+('Unit costs'!$D161*'Financial impact (cash)'!F$40)</f>
        <v>264.53810651974845</v>
      </c>
      <c r="G197" s="128">
        <f>('Unit costs'!$C161*'Financial impact (cash)'!G$39)+('Unit costs'!$E161*'Financial impact (cash)'!G$41)+('Unit costs'!$F161*'Financial impact (cash)'!G$42)+('Unit costs'!$D161*'Financial impact (cash)'!G$40)</f>
        <v>267.08873200968424</v>
      </c>
      <c r="H197" s="128">
        <f>('Unit costs'!$C161*'Financial impact (cash)'!H$39)+('Unit costs'!$E161*'Financial impact (cash)'!H$41)+('Unit costs'!$F161*'Financial impact (cash)'!H$42)+('Unit costs'!$D161*'Financial impact (cash)'!H$40)</f>
        <v>269.66395013950648</v>
      </c>
      <c r="I197" s="128">
        <f>('Unit costs'!$C161*'Financial impact (cash)'!I$39)+('Unit costs'!$E161*'Financial impact (cash)'!I$41)+('Unit costs'!$F161*'Financial impact (cash)'!I$42)+('Unit costs'!$D161*'Financial impact (cash)'!I$40)</f>
        <v>272.26399802671415</v>
      </c>
      <c r="J197" s="297"/>
      <c r="K197" s="297"/>
      <c r="L197" s="299">
        <f>(D197*'Unit costs'!$I141)/1000</f>
        <v>657.1100265297182</v>
      </c>
      <c r="M197" s="299">
        <f>(E197*'Unit costs'!$I141)/1000</f>
        <v>596.74506455029518</v>
      </c>
      <c r="N197" s="299">
        <f>(F197*'Unit costs'!$I141)/1000</f>
        <v>533.11423863559344</v>
      </c>
      <c r="O197" s="299">
        <f>(G197*'Unit costs'!$I141)/1000</f>
        <v>538.25442348079696</v>
      </c>
      <c r="P197" s="299">
        <f>(H197*'Unit costs'!$I141)/1000</f>
        <v>543.44416899860676</v>
      </c>
      <c r="Q197" s="299">
        <f>(I197*'Unit costs'!$I141)/1000</f>
        <v>548.68395304348621</v>
      </c>
      <c r="R197" s="711"/>
      <c r="S197" s="133"/>
      <c r="T197" s="133"/>
      <c r="U197" s="133"/>
      <c r="V197" s="133"/>
      <c r="W197" s="133"/>
      <c r="X197" s="133"/>
      <c r="Y197" s="133"/>
      <c r="Z197" s="133"/>
      <c r="AJ197" s="292"/>
      <c r="AK197" s="292"/>
      <c r="AL197" s="292"/>
      <c r="AM197" s="292"/>
      <c r="AN197" s="292"/>
    </row>
    <row r="198" spans="1:40" x14ac:dyDescent="0.25">
      <c r="A198" s="297"/>
      <c r="B198" s="253" t="s">
        <v>1111</v>
      </c>
      <c r="C198" s="168"/>
      <c r="D198" s="128">
        <f>('Unit costs'!$C162*'Financial impact (cash)'!D$39)+('Unit costs'!$E162*'Financial impact (cash)'!D$41)+('Unit costs'!$F162*'Financial impact (cash)'!D$42)+('Unit costs'!$D162*'Financial impact (cash)'!D$40)</f>
        <v>0.62766033677499222</v>
      </c>
      <c r="E198" s="128">
        <f>('Unit costs'!$C162*'Financial impact (cash)'!E$39)+('Unit costs'!$E162*'Financial impact (cash)'!E$41)+('Unit costs'!$F162*'Financial impact (cash)'!E$42)+('Unit costs'!$D162*'Financial impact (cash)'!E$40)</f>
        <v>2.2423659520897221</v>
      </c>
      <c r="F198" s="128">
        <f>('Unit costs'!$C162*'Financial impact (cash)'!F$39)+('Unit costs'!$E162*'Financial impact (cash)'!F$41)+('Unit costs'!$F162*'Financial impact (cash)'!F$42)+('Unit costs'!$D162*'Financial impact (cash)'!F$40)</f>
        <v>3.937367674545114</v>
      </c>
      <c r="G198" s="128">
        <f>('Unit costs'!$C162*'Financial impact (cash)'!G$39)+('Unit costs'!$E162*'Financial impact (cash)'!G$41)+('Unit costs'!$F162*'Financial impact (cash)'!G$42)+('Unit costs'!$D162*'Financial impact (cash)'!G$40)</f>
        <v>3.975331015577777</v>
      </c>
      <c r="H198" s="128">
        <f>('Unit costs'!$C162*'Financial impact (cash)'!H$39)+('Unit costs'!$E162*'Financial impact (cash)'!H$41)+('Unit costs'!$F162*'Financial impact (cash)'!H$42)+('Unit costs'!$D162*'Financial impact (cash)'!H$40)</f>
        <v>4.0136603918353622</v>
      </c>
      <c r="I198" s="128">
        <f>('Unit costs'!$C162*'Financial impact (cash)'!I$39)+('Unit costs'!$E162*'Financial impact (cash)'!I$41)+('Unit costs'!$F162*'Financial impact (cash)'!I$42)+('Unit costs'!$D162*'Financial impact (cash)'!I$40)</f>
        <v>4.0523593325590355</v>
      </c>
      <c r="J198" s="297"/>
      <c r="K198" s="297"/>
      <c r="L198" s="299">
        <f>(D198*'Unit costs'!$I142)/1000</f>
        <v>0.72193807181457337</v>
      </c>
      <c r="M198" s="299">
        <f>(E198*'Unit costs'!$I142)/1000</f>
        <v>2.5791805804906862</v>
      </c>
      <c r="N198" s="299">
        <f>(F198*'Unit costs'!$I142)/1000</f>
        <v>4.5287800748912721</v>
      </c>
      <c r="O198" s="299">
        <f>(G198*'Unit costs'!$I142)/1000</f>
        <v>4.5724457004198529</v>
      </c>
      <c r="P198" s="299">
        <f>(H198*'Unit costs'!$I142)/1000</f>
        <v>4.6165323415025696</v>
      </c>
      <c r="Q198" s="299">
        <f>(I198*'Unit costs'!$I142)/1000</f>
        <v>4.6610440574903373</v>
      </c>
      <c r="R198" s="711"/>
      <c r="S198" s="133"/>
      <c r="T198" s="133"/>
      <c r="U198" s="133"/>
      <c r="V198" s="133"/>
      <c r="W198" s="133"/>
      <c r="X198" s="133"/>
      <c r="Y198" s="133"/>
      <c r="Z198" s="133"/>
      <c r="AJ198" s="292"/>
      <c r="AK198" s="292"/>
      <c r="AL198" s="292"/>
      <c r="AM198" s="292"/>
      <c r="AN198" s="292"/>
    </row>
    <row r="199" spans="1:40" x14ac:dyDescent="0.25">
      <c r="A199" s="297"/>
      <c r="B199" s="253" t="s">
        <v>1112</v>
      </c>
      <c r="C199" s="168"/>
      <c r="D199" s="128">
        <f>('Unit costs'!$C163*'Financial impact (cash)'!D$39)+('Unit costs'!$E163*'Financial impact (cash)'!D$41)+('Unit costs'!$F163*'Financial impact (cash)'!D$42)+('Unit costs'!$D163*'Financial impact (cash)'!D$40)</f>
        <v>56.725328302267243</v>
      </c>
      <c r="E199" s="128">
        <f>('Unit costs'!$C163*'Financial impact (cash)'!E$39)+('Unit costs'!$E163*'Financial impact (cash)'!E$41)+('Unit costs'!$F163*'Financial impact (cash)'!E$42)+('Unit costs'!$D163*'Financial impact (cash)'!E$40)</f>
        <v>61.084899251153843</v>
      </c>
      <c r="F199" s="128">
        <f>('Unit costs'!$C163*'Financial impact (cash)'!F$39)+('Unit costs'!$E163*'Financial impact (cash)'!F$41)+('Unit costs'!$F163*'Financial impact (cash)'!F$42)+('Unit costs'!$D163*'Financial impact (cash)'!F$40)</f>
        <v>65.639913441176589</v>
      </c>
      <c r="G199" s="128">
        <f>('Unit costs'!$C163*'Financial impact (cash)'!G$39)+('Unit costs'!$E163*'Financial impact (cash)'!G$41)+('Unit costs'!$F163*'Financial impact (cash)'!G$42)+('Unit costs'!$D163*'Financial impact (cash)'!G$40)</f>
        <v>66.272800848525392</v>
      </c>
      <c r="H199" s="128">
        <f>('Unit costs'!$C163*'Financial impact (cash)'!H$39)+('Unit costs'!$E163*'Financial impact (cash)'!H$41)+('Unit costs'!$F163*'Financial impact (cash)'!H$42)+('Unit costs'!$D163*'Financial impact (cash)'!H$40)</f>
        <v>66.911790434402178</v>
      </c>
      <c r="I199" s="128">
        <f>('Unit costs'!$C163*'Financial impact (cash)'!I$39)+('Unit costs'!$E163*'Financial impact (cash)'!I$41)+('Unit costs'!$F163*'Financial impact (cash)'!I$42)+('Unit costs'!$D163*'Financial impact (cash)'!I$40)</f>
        <v>67.556941034837422</v>
      </c>
      <c r="J199" s="297"/>
      <c r="K199" s="297"/>
      <c r="L199" s="299">
        <f>(D199*'Unit costs'!$I143)/1000</f>
        <v>43.684051920874261</v>
      </c>
      <c r="M199" s="299">
        <f>(E199*'Unit costs'!$I143)/1000</f>
        <v>47.0413480244613</v>
      </c>
      <c r="N199" s="299">
        <f>(F199*'Unit costs'!$I143)/1000</f>
        <v>50.549154542864827</v>
      </c>
      <c r="O199" s="299">
        <f>(G199*'Unit costs'!$I143)/1000</f>
        <v>51.03653975843153</v>
      </c>
      <c r="P199" s="299">
        <f>(H199*'Unit costs'!$I143)/1000</f>
        <v>51.528624248407475</v>
      </c>
      <c r="Q199" s="299">
        <f>(I199*'Unit costs'!$I143)/1000</f>
        <v>52.025453322291739</v>
      </c>
      <c r="R199" s="711"/>
      <c r="S199" s="133"/>
      <c r="T199" s="133"/>
      <c r="U199" s="133"/>
      <c r="V199" s="133"/>
      <c r="W199" s="133"/>
      <c r="X199" s="133"/>
      <c r="Y199" s="133"/>
      <c r="Z199" s="133"/>
      <c r="AJ199" s="292"/>
      <c r="AK199" s="292"/>
      <c r="AL199" s="292"/>
      <c r="AM199" s="292"/>
      <c r="AN199" s="292"/>
    </row>
    <row r="200" spans="1:40" x14ac:dyDescent="0.25">
      <c r="A200" s="297"/>
      <c r="B200" s="253" t="s">
        <v>1113</v>
      </c>
      <c r="C200" s="168"/>
      <c r="D200" s="128">
        <f>('Unit costs'!$C164*'Financial impact (cash)'!D$39)+('Unit costs'!$E164*'Financial impact (cash)'!D$41)+('Unit costs'!$F164*'Financial impact (cash)'!D$42)+('Unit costs'!$D164*'Financial impact (cash)'!D$40)</f>
        <v>112.09914770653839</v>
      </c>
      <c r="E200" s="128">
        <f>('Unit costs'!$C164*'Financial impact (cash)'!E$39)+('Unit costs'!$E164*'Financial impact (cash)'!E$41)+('Unit costs'!$F164*'Financial impact (cash)'!E$42)+('Unit costs'!$D164*'Financial impact (cash)'!E$40)</f>
        <v>103.70539501326691</v>
      </c>
      <c r="F200" s="128">
        <f>('Unit costs'!$C164*'Financial impact (cash)'!F$39)+('Unit costs'!$E164*'Financial impact (cash)'!F$41)+('Unit costs'!$F164*'Financial impact (cash)'!F$42)+('Unit costs'!$D164*'Financial impact (cash)'!F$40)</f>
        <v>94.849482120562669</v>
      </c>
      <c r="G200" s="128">
        <f>('Unit costs'!$C164*'Financial impact (cash)'!G$39)+('Unit costs'!$E164*'Financial impact (cash)'!G$41)+('Unit costs'!$F164*'Financial impact (cash)'!G$42)+('Unit costs'!$D164*'Financial impact (cash)'!G$40)</f>
        <v>95.764002565222512</v>
      </c>
      <c r="H200" s="128">
        <f>('Unit costs'!$C164*'Financial impact (cash)'!H$39)+('Unit costs'!$E164*'Financial impact (cash)'!H$41)+('Unit costs'!$F164*'Financial impact (cash)'!H$42)+('Unit costs'!$D164*'Financial impact (cash)'!H$40)</f>
        <v>96.687340639931563</v>
      </c>
      <c r="I200" s="128">
        <f>('Unit costs'!$C164*'Financial impact (cash)'!I$39)+('Unit costs'!$E164*'Financial impact (cash)'!I$41)+('Unit costs'!$F164*'Financial impact (cash)'!I$42)+('Unit costs'!$D164*'Financial impact (cash)'!I$40)</f>
        <v>97.619581362581101</v>
      </c>
      <c r="J200" s="297"/>
      <c r="K200" s="297"/>
      <c r="L200" s="299">
        <f>(D200*'Unit costs'!$I144)/1000</f>
        <v>153.07120840742994</v>
      </c>
      <c r="M200" s="299">
        <f>(E200*'Unit costs'!$I144)/1000</f>
        <v>141.60955241700492</v>
      </c>
      <c r="N200" s="299">
        <f>(F200*'Unit costs'!$I144)/1000</f>
        <v>129.51681740722651</v>
      </c>
      <c r="O200" s="299">
        <f>(G200*'Unit costs'!$I144)/1000</f>
        <v>130.76559362400786</v>
      </c>
      <c r="P200" s="299">
        <f>(H200*'Unit costs'!$I144)/1000</f>
        <v>132.02641030063688</v>
      </c>
      <c r="Q200" s="299">
        <f>(I200*'Unit costs'!$I144)/1000</f>
        <v>133.29938352890932</v>
      </c>
      <c r="R200" s="711"/>
      <c r="S200" s="133"/>
      <c r="T200" s="133"/>
      <c r="U200" s="133"/>
      <c r="V200" s="133"/>
      <c r="W200" s="133"/>
      <c r="X200" s="133"/>
      <c r="Y200" s="133"/>
      <c r="Z200" s="133"/>
      <c r="AJ200" s="292"/>
      <c r="AK200" s="292"/>
      <c r="AL200" s="292"/>
      <c r="AM200" s="292"/>
      <c r="AN200" s="292"/>
    </row>
    <row r="201" spans="1:40" x14ac:dyDescent="0.25">
      <c r="A201" s="297"/>
      <c r="B201" s="253" t="s">
        <v>1114</v>
      </c>
      <c r="C201" s="168"/>
      <c r="D201" s="128">
        <f>('Unit costs'!$C165*'Financial impact (cash)'!D$39)+('Unit costs'!$E165*'Financial impact (cash)'!D$41)+('Unit costs'!$F165*'Financial impact (cash)'!D$42)+('Unit costs'!$D165*'Financial impact (cash)'!D$40)</f>
        <v>2.7751794998145014</v>
      </c>
      <c r="E201" s="128">
        <f>('Unit costs'!$C165*'Financial impact (cash)'!E$39)+('Unit costs'!$E165*'Financial impact (cash)'!E$41)+('Unit costs'!$F165*'Financial impact (cash)'!E$42)+('Unit costs'!$D165*'Financial impact (cash)'!E$40)</f>
        <v>3.8559288390364266</v>
      </c>
      <c r="F201" s="128">
        <f>('Unit costs'!$C165*'Financial impact (cash)'!F$39)+('Unit costs'!$E165*'Financial impact (cash)'!F$41)+('Unit costs'!$F165*'Financial impact (cash)'!F$42)+('Unit costs'!$D165*'Financial impact (cash)'!F$40)</f>
        <v>4.9895080295168048</v>
      </c>
      <c r="G201" s="128">
        <f>('Unit costs'!$C165*'Financial impact (cash)'!G$39)+('Unit costs'!$E165*'Financial impact (cash)'!G$41)+('Unit costs'!$F165*'Financial impact (cash)'!G$42)+('Unit costs'!$D165*'Financial impact (cash)'!G$40)</f>
        <v>5.0376159052771348</v>
      </c>
      <c r="H201" s="128">
        <f>('Unit costs'!$C165*'Financial impact (cash)'!H$39)+('Unit costs'!$E165*'Financial impact (cash)'!H$41)+('Unit costs'!$F165*'Financial impact (cash)'!H$42)+('Unit costs'!$D165*'Financial impact (cash)'!H$40)</f>
        <v>5.0861876279130414</v>
      </c>
      <c r="I201" s="128">
        <f>('Unit costs'!$C165*'Financial impact (cash)'!I$39)+('Unit costs'!$E165*'Financial impact (cash)'!I$41)+('Unit costs'!$F165*'Financial impact (cash)'!I$42)+('Unit costs'!$D165*'Financial impact (cash)'!I$40)</f>
        <v>5.1352276697467962</v>
      </c>
      <c r="J201" s="297"/>
      <c r="K201" s="297"/>
      <c r="L201" s="299">
        <f>(D201*'Unit costs'!$I145)/1000</f>
        <v>3.7895032056461879</v>
      </c>
      <c r="M201" s="299">
        <f>(E201*'Unit costs'!$I145)/1000</f>
        <v>5.2652647143180547</v>
      </c>
      <c r="N201" s="299">
        <f>(F201*'Unit costs'!$I145)/1000</f>
        <v>6.8131653010967979</v>
      </c>
      <c r="O201" s="299">
        <f>(G201*'Unit costs'!$I145)/1000</f>
        <v>6.8788565291498962</v>
      </c>
      <c r="P201" s="299">
        <f>(H201*'Unit costs'!$I145)/1000</f>
        <v>6.9451811393759471</v>
      </c>
      <c r="Q201" s="299">
        <f>(I201*'Unit costs'!$I145)/1000</f>
        <v>7.0121452387239209</v>
      </c>
      <c r="R201" s="711"/>
      <c r="S201" s="133"/>
      <c r="T201" s="133"/>
      <c r="U201" s="133"/>
      <c r="V201" s="133"/>
      <c r="W201" s="133"/>
      <c r="X201" s="133"/>
      <c r="Y201" s="133"/>
      <c r="Z201" s="133"/>
      <c r="AJ201" s="292"/>
      <c r="AK201" s="292"/>
      <c r="AL201" s="292"/>
      <c r="AM201" s="292"/>
      <c r="AN201" s="292"/>
    </row>
    <row r="202" spans="1:40" x14ac:dyDescent="0.25">
      <c r="A202" s="297"/>
      <c r="B202" s="253" t="s">
        <v>1115</v>
      </c>
      <c r="C202" s="168"/>
      <c r="D202" s="128">
        <f>('Unit costs'!$C166*'Financial impact (cash)'!D$39)+('Unit costs'!$E166*'Financial impact (cash)'!D$41)+('Unit costs'!$F166*'Financial impact (cash)'!D$42)+('Unit costs'!$D166*'Financial impact (cash)'!D$40)</f>
        <v>6.0965379437414313</v>
      </c>
      <c r="E202" s="128">
        <f>('Unit costs'!$C166*'Financial impact (cash)'!E$39)+('Unit costs'!$E166*'Financial impact (cash)'!E$41)+('Unit costs'!$F166*'Financial impact (cash)'!E$42)+('Unit costs'!$D166*'Financial impact (cash)'!E$40)</f>
        <v>16.976066610136574</v>
      </c>
      <c r="F202" s="128">
        <f>('Unit costs'!$C166*'Financial impact (cash)'!F$39)+('Unit costs'!$E166*'Financial impact (cash)'!F$41)+('Unit costs'!$F166*'Financial impact (cash)'!F$42)+('Unit costs'!$D166*'Financial impact (cash)'!F$40)</f>
        <v>28.395888143922257</v>
      </c>
      <c r="G202" s="128">
        <f>('Unit costs'!$C166*'Financial impact (cash)'!G$39)+('Unit costs'!$E166*'Financial impact (cash)'!G$41)+('Unit costs'!$F166*'Financial impact (cash)'!G$42)+('Unit costs'!$D166*'Financial impact (cash)'!G$40)</f>
        <v>28.669675830173219</v>
      </c>
      <c r="H202" s="128">
        <f>('Unit costs'!$C166*'Financial impact (cash)'!H$39)+('Unit costs'!$E166*'Financial impact (cash)'!H$41)+('Unit costs'!$F166*'Financial impact (cash)'!H$42)+('Unit costs'!$D166*'Financial impact (cash)'!H$40)</f>
        <v>28.946103324581003</v>
      </c>
      <c r="I202" s="128">
        <f>('Unit costs'!$C166*'Financial impact (cash)'!I$39)+('Unit costs'!$E166*'Financial impact (cash)'!I$41)+('Unit costs'!$F166*'Financial impact (cash)'!I$42)+('Unit costs'!$D166*'Financial impact (cash)'!I$40)</f>
        <v>29.225196079667601</v>
      </c>
      <c r="J202" s="297"/>
      <c r="K202" s="297"/>
      <c r="L202" s="299">
        <f>(D202*'Unit costs'!$I146)/1000</f>
        <v>8.3248128932546575</v>
      </c>
      <c r="M202" s="299">
        <f>(E202*'Unit costs'!$I146)/1000</f>
        <v>23.180792032614743</v>
      </c>
      <c r="N202" s="299">
        <f>(F202*'Unit costs'!$I146)/1000</f>
        <v>38.774540225508517</v>
      </c>
      <c r="O202" s="299">
        <f>(G202*'Unit costs'!$I146)/1000</f>
        <v>39.148396876865235</v>
      </c>
      <c r="P202" s="299">
        <f>(H202*'Unit costs'!$I146)/1000</f>
        <v>39.525858182073442</v>
      </c>
      <c r="Q202" s="299">
        <f>(I202*'Unit costs'!$I146)/1000</f>
        <v>39.906958896511547</v>
      </c>
      <c r="R202" s="711"/>
      <c r="S202" s="133"/>
      <c r="T202" s="133"/>
      <c r="U202" s="133"/>
      <c r="V202" s="133"/>
      <c r="W202" s="133"/>
      <c r="X202" s="133"/>
      <c r="Y202" s="133"/>
      <c r="Z202" s="133"/>
      <c r="AJ202" s="292"/>
      <c r="AK202" s="292"/>
      <c r="AL202" s="292"/>
      <c r="AM202" s="292"/>
      <c r="AN202" s="292"/>
    </row>
    <row r="203" spans="1:40" x14ac:dyDescent="0.25">
      <c r="A203" s="297"/>
      <c r="B203" s="253" t="s">
        <v>1116</v>
      </c>
      <c r="C203" s="168"/>
      <c r="D203" s="128">
        <f>('Unit costs'!$C167*'Financial impact (cash)'!D$39)+('Unit costs'!$E167*'Financial impact (cash)'!D$41)+('Unit costs'!$F167*'Financial impact (cash)'!D$42)+('Unit costs'!$D167*'Financial impact (cash)'!D$40)</f>
        <v>2.5106413470999689</v>
      </c>
      <c r="E203" s="128">
        <f>('Unit costs'!$C167*'Financial impact (cash)'!E$39)+('Unit costs'!$E167*'Financial impact (cash)'!E$41)+('Unit costs'!$F167*'Financial impact (cash)'!E$42)+('Unit costs'!$D167*'Financial impact (cash)'!E$40)</f>
        <v>8.9694638083588885</v>
      </c>
      <c r="F203" s="128">
        <f>('Unit costs'!$C167*'Financial impact (cash)'!F$39)+('Unit costs'!$E167*'Financial impact (cash)'!F$41)+('Unit costs'!$F167*'Financial impact (cash)'!F$42)+('Unit costs'!$D167*'Financial impact (cash)'!F$40)</f>
        <v>15.749470698180456</v>
      </c>
      <c r="G203" s="128">
        <f>('Unit costs'!$C167*'Financial impact (cash)'!G$39)+('Unit costs'!$E167*'Financial impact (cash)'!G$41)+('Unit costs'!$F167*'Financial impact (cash)'!G$42)+('Unit costs'!$D167*'Financial impact (cash)'!G$40)</f>
        <v>15.901324062311108</v>
      </c>
      <c r="H203" s="128">
        <f>('Unit costs'!$C167*'Financial impact (cash)'!H$39)+('Unit costs'!$E167*'Financial impact (cash)'!H$41)+('Unit costs'!$F167*'Financial impact (cash)'!H$42)+('Unit costs'!$D167*'Financial impact (cash)'!H$40)</f>
        <v>16.054641567341449</v>
      </c>
      <c r="I203" s="128">
        <f>('Unit costs'!$C167*'Financial impact (cash)'!I$39)+('Unit costs'!$E167*'Financial impact (cash)'!I$41)+('Unit costs'!$F167*'Financial impact (cash)'!I$42)+('Unit costs'!$D167*'Financial impact (cash)'!I$40)</f>
        <v>16.209437330236142</v>
      </c>
      <c r="J203" s="297"/>
      <c r="K203" s="297"/>
      <c r="L203" s="299">
        <f>(D203*'Unit costs'!$I147)/1000</f>
        <v>4.1054704316322423</v>
      </c>
      <c r="M203" s="299">
        <f>(E203*'Unit costs'!$I147)/1000</f>
        <v>14.66711623121639</v>
      </c>
      <c r="N203" s="299">
        <f>(F203*'Unit costs'!$I147)/1000</f>
        <v>25.753971725163208</v>
      </c>
      <c r="O203" s="299">
        <f>(G203*'Unit costs'!$I147)/1000</f>
        <v>26.002286561968706</v>
      </c>
      <c r="P203" s="299">
        <f>(H203*'Unit costs'!$I147)/1000</f>
        <v>26.252995602621112</v>
      </c>
      <c r="Q203" s="299">
        <f>(I203*'Unit costs'!$I147)/1000</f>
        <v>26.506121931572952</v>
      </c>
      <c r="R203" s="711"/>
      <c r="S203" s="133"/>
      <c r="T203" s="133"/>
      <c r="U203" s="133"/>
      <c r="V203" s="133"/>
      <c r="W203" s="133"/>
      <c r="X203" s="133"/>
      <c r="Y203" s="133"/>
      <c r="Z203" s="133"/>
      <c r="AJ203" s="292"/>
      <c r="AK203" s="292"/>
      <c r="AL203" s="292"/>
      <c r="AM203" s="292"/>
      <c r="AN203" s="292"/>
    </row>
    <row r="204" spans="1:40" x14ac:dyDescent="0.25">
      <c r="A204" s="297"/>
      <c r="B204" s="253" t="s">
        <v>1117</v>
      </c>
      <c r="C204" s="168"/>
      <c r="D204" s="128">
        <f>('Unit costs'!$C168*'Financial impact (cash)'!D$39)+('Unit costs'!$E168*'Financial impact (cash)'!D$41)+('Unit costs'!$F168*'Financial impact (cash)'!D$42)+('Unit costs'!$D168*'Financial impact (cash)'!D$40)</f>
        <v>85.432968111485906</v>
      </c>
      <c r="E204" s="128">
        <f>('Unit costs'!$C168*'Financial impact (cash)'!E$39)+('Unit costs'!$E168*'Financial impact (cash)'!E$41)+('Unit costs'!$F168*'Financial impact (cash)'!E$42)+('Unit costs'!$D168*'Financial impact (cash)'!E$40)</f>
        <v>93.096641782074585</v>
      </c>
      <c r="F204" s="128">
        <f>('Unit costs'!$C168*'Financial impact (cash)'!F$39)+('Unit costs'!$E168*'Financial impact (cash)'!F$41)+('Unit costs'!$F168*'Financial impact (cash)'!F$42)+('Unit costs'!$D168*'Financial impact (cash)'!F$40)</f>
        <v>101.10942609742455</v>
      </c>
      <c r="G204" s="128">
        <f>('Unit costs'!$C168*'Financial impact (cash)'!G$39)+('Unit costs'!$E168*'Financial impact (cash)'!G$41)+('Unit costs'!$F168*'Financial impact (cash)'!G$42)+('Unit costs'!$D168*'Financial impact (cash)'!G$40)</f>
        <v>102.08430371664429</v>
      </c>
      <c r="H204" s="128">
        <f>('Unit costs'!$C168*'Financial impact (cash)'!H$39)+('Unit costs'!$E168*'Financial impact (cash)'!H$41)+('Unit costs'!$F168*'Financial impact (cash)'!H$42)+('Unit costs'!$D168*'Financial impact (cash)'!H$40)</f>
        <v>103.06858091816937</v>
      </c>
      <c r="I204" s="128">
        <f>('Unit costs'!$C168*'Financial impact (cash)'!I$39)+('Unit costs'!$E168*'Financial impact (cash)'!I$41)+('Unit costs'!$F168*'Financial impact (cash)'!I$42)+('Unit costs'!$D168*'Financial impact (cash)'!I$40)</f>
        <v>104.06234833096276</v>
      </c>
      <c r="J204" s="297"/>
      <c r="K204" s="297"/>
      <c r="L204" s="299">
        <f>(D204*'Unit costs'!$I148)/1000</f>
        <v>157.50798953005309</v>
      </c>
      <c r="M204" s="299">
        <f>(E204*'Unit costs'!$I148)/1000</f>
        <v>171.63707644991325</v>
      </c>
      <c r="N204" s="299">
        <f>(F204*'Unit costs'!$I148)/1000</f>
        <v>186.40979915810436</v>
      </c>
      <c r="O204" s="299">
        <f>(G204*'Unit costs'!$I148)/1000</f>
        <v>188.20712655097651</v>
      </c>
      <c r="P204" s="299">
        <f>(H204*'Unit costs'!$I148)/1000</f>
        <v>190.02178342852028</v>
      </c>
      <c r="Q204" s="299">
        <f>(I204*'Unit costs'!$I148)/1000</f>
        <v>191.85393687829048</v>
      </c>
      <c r="R204" s="711"/>
      <c r="S204" s="133"/>
      <c r="T204" s="133"/>
      <c r="U204" s="133"/>
      <c r="V204" s="133"/>
      <c r="W204" s="133"/>
      <c r="X204" s="133"/>
      <c r="Y204" s="133"/>
      <c r="Z204" s="133"/>
      <c r="AJ204" s="292"/>
      <c r="AK204" s="292"/>
      <c r="AL204" s="292"/>
      <c r="AM204" s="292"/>
      <c r="AN204" s="292"/>
    </row>
    <row r="205" spans="1:40" x14ac:dyDescent="0.25">
      <c r="A205" s="297"/>
      <c r="B205" s="253" t="s">
        <v>1118</v>
      </c>
      <c r="C205" s="168"/>
      <c r="D205" s="128">
        <f>('Unit costs'!$C169*'Financial impact (cash)'!D$39)+('Unit costs'!$E169*'Financial impact (cash)'!D$41)+('Unit costs'!$F169*'Financial impact (cash)'!D$42)+('Unit costs'!$D169*'Financial impact (cash)'!D$40)</f>
        <v>153.48642440394119</v>
      </c>
      <c r="E205" s="128">
        <f>('Unit costs'!$C169*'Financial impact (cash)'!E$39)+('Unit costs'!$E169*'Financial impact (cash)'!E$41)+('Unit costs'!$F169*'Financial impact (cash)'!E$42)+('Unit costs'!$D169*'Financial impact (cash)'!E$40)</f>
        <v>183.92207998987729</v>
      </c>
      <c r="F205" s="128">
        <f>('Unit costs'!$C169*'Financial impact (cash)'!F$39)+('Unit costs'!$E169*'Financial impact (cash)'!F$41)+('Unit costs'!$F169*'Financial impact (cash)'!F$42)+('Unit costs'!$D169*'Financial impact (cash)'!F$40)</f>
        <v>215.81628398377512</v>
      </c>
      <c r="G205" s="128">
        <f>('Unit costs'!$C169*'Financial impact (cash)'!G$39)+('Unit costs'!$E169*'Financial impact (cash)'!G$41)+('Unit costs'!$F169*'Financial impact (cash)'!G$42)+('Unit costs'!$D169*'Financial impact (cash)'!G$40)</f>
        <v>217.8971430415273</v>
      </c>
      <c r="H205" s="128">
        <f>('Unit costs'!$C169*'Financial impact (cash)'!H$39)+('Unit costs'!$E169*'Financial impact (cash)'!H$41)+('Unit costs'!$F169*'Financial impact (cash)'!H$42)+('Unit costs'!$D169*'Financial impact (cash)'!H$40)</f>
        <v>219.99806534167382</v>
      </c>
      <c r="I205" s="128">
        <f>('Unit costs'!$C169*'Financial impact (cash)'!I$39)+('Unit costs'!$E169*'Financial impact (cash)'!I$41)+('Unit costs'!$F169*'Financial impact (cash)'!I$42)+('Unit costs'!$D169*'Financial impact (cash)'!I$40)</f>
        <v>222.1192443301351</v>
      </c>
      <c r="J205" s="297"/>
      <c r="K205" s="297"/>
      <c r="L205" s="299">
        <f>(D205*'Unit costs'!$I149)/1000</f>
        <v>209.58546909876793</v>
      </c>
      <c r="M205" s="299">
        <f>(E205*'Unit costs'!$I149)/1000</f>
        <v>251.14530853133704</v>
      </c>
      <c r="N205" s="299">
        <f>(F205*'Unit costs'!$I149)/1000</f>
        <v>294.69679350176438</v>
      </c>
      <c r="O205" s="299">
        <f>(G205*'Unit costs'!$I149)/1000</f>
        <v>297.53820324494563</v>
      </c>
      <c r="P205" s="299">
        <f>(H205*'Unit costs'!$I149)/1000</f>
        <v>300.40700931379666</v>
      </c>
      <c r="Q205" s="299">
        <f>(I205*'Unit costs'!$I149)/1000</f>
        <v>303.30347585841503</v>
      </c>
      <c r="R205" s="711"/>
      <c r="S205" s="133"/>
      <c r="T205" s="133"/>
      <c r="U205" s="133"/>
      <c r="V205" s="133"/>
      <c r="W205" s="133"/>
      <c r="X205" s="133"/>
      <c r="Y205" s="133"/>
      <c r="Z205" s="133"/>
      <c r="AJ205" s="292"/>
      <c r="AK205" s="292"/>
      <c r="AL205" s="292"/>
      <c r="AM205" s="292"/>
      <c r="AN205" s="292"/>
    </row>
    <row r="206" spans="1:40" x14ac:dyDescent="0.25">
      <c r="A206" s="297"/>
      <c r="B206" s="253" t="s">
        <v>1119</v>
      </c>
      <c r="C206" s="168"/>
      <c r="D206" s="128">
        <f>('Unit costs'!$C170*'Financial impact (cash)'!D$39)+('Unit costs'!$E170*'Financial impact (cash)'!D$41)+('Unit costs'!$F170*'Financial impact (cash)'!D$42)+('Unit costs'!$D170*'Financial impact (cash)'!D$40)</f>
        <v>2.5106413470999689</v>
      </c>
      <c r="E206" s="128">
        <f>('Unit costs'!$C170*'Financial impact (cash)'!E$39)+('Unit costs'!$E170*'Financial impact (cash)'!E$41)+('Unit costs'!$F170*'Financial impact (cash)'!E$42)+('Unit costs'!$D170*'Financial impact (cash)'!E$40)</f>
        <v>8.9694638083588885</v>
      </c>
      <c r="F206" s="128">
        <f>('Unit costs'!$C170*'Financial impact (cash)'!F$39)+('Unit costs'!$E170*'Financial impact (cash)'!F$41)+('Unit costs'!$F170*'Financial impact (cash)'!F$42)+('Unit costs'!$D170*'Financial impact (cash)'!F$40)</f>
        <v>15.749470698180456</v>
      </c>
      <c r="G206" s="128">
        <f>('Unit costs'!$C170*'Financial impact (cash)'!G$39)+('Unit costs'!$E170*'Financial impact (cash)'!G$41)+('Unit costs'!$F170*'Financial impact (cash)'!G$42)+('Unit costs'!$D170*'Financial impact (cash)'!G$40)</f>
        <v>15.901324062311108</v>
      </c>
      <c r="H206" s="128">
        <f>('Unit costs'!$C170*'Financial impact (cash)'!H$39)+('Unit costs'!$E170*'Financial impact (cash)'!H$41)+('Unit costs'!$F170*'Financial impact (cash)'!H$42)+('Unit costs'!$D170*'Financial impact (cash)'!H$40)</f>
        <v>16.054641567341449</v>
      </c>
      <c r="I206" s="128">
        <f>('Unit costs'!$C170*'Financial impact (cash)'!I$39)+('Unit costs'!$E170*'Financial impact (cash)'!I$41)+('Unit costs'!$F170*'Financial impact (cash)'!I$42)+('Unit costs'!$D170*'Financial impact (cash)'!I$40)</f>
        <v>16.209437330236142</v>
      </c>
      <c r="J206" s="297"/>
      <c r="K206" s="297"/>
      <c r="L206" s="299">
        <f>(D206*'Unit costs'!$I150)/1000</f>
        <v>3.8484447250307232</v>
      </c>
      <c r="M206" s="299">
        <f>(E206*'Unit costs'!$I150)/1000</f>
        <v>13.748871665602456</v>
      </c>
      <c r="N206" s="299">
        <f>(F206*'Unit costs'!$I150)/1000</f>
        <v>24.141627198345148</v>
      </c>
      <c r="O206" s="299">
        <f>(G206*'Unit costs'!$I150)/1000</f>
        <v>24.37439611965755</v>
      </c>
      <c r="P206" s="299">
        <f>(H206*'Unit costs'!$I150)/1000</f>
        <v>24.609409354092818</v>
      </c>
      <c r="Q206" s="299">
        <f>(I206*'Unit costs'!$I150)/1000</f>
        <v>24.846688540885989</v>
      </c>
      <c r="R206" s="711"/>
      <c r="S206" s="133"/>
      <c r="T206" s="133"/>
      <c r="U206" s="133"/>
      <c r="V206" s="133"/>
      <c r="W206" s="133"/>
      <c r="X206" s="133"/>
      <c r="Y206" s="133"/>
      <c r="Z206" s="133"/>
      <c r="AJ206" s="292"/>
      <c r="AK206" s="292"/>
      <c r="AL206" s="292"/>
      <c r="AM206" s="292"/>
      <c r="AN206" s="292"/>
    </row>
    <row r="207" spans="1:40" x14ac:dyDescent="0.25">
      <c r="A207" s="297"/>
      <c r="B207" s="253" t="s">
        <v>1120</v>
      </c>
      <c r="C207" s="168"/>
      <c r="D207" s="128">
        <f>('Unit costs'!$C171*'Financial impact (cash)'!D$39)+('Unit costs'!$E171*'Financial impact (cash)'!D$41)+('Unit costs'!$F171*'Financial impact (cash)'!D$42)+('Unit costs'!$D171*'Financial impact (cash)'!D$40)</f>
        <v>236.02795477450863</v>
      </c>
      <c r="E207" s="128">
        <f>('Unit costs'!$C171*'Financial impact (cash)'!E$39)+('Unit costs'!$E171*'Financial impact (cash)'!E$41)+('Unit costs'!$F171*'Financial impact (cash)'!E$42)+('Unit costs'!$D171*'Financial impact (cash)'!E$40)</f>
        <v>196.79535529627088</v>
      </c>
      <c r="F207" s="128">
        <f>('Unit costs'!$C171*'Financial impact (cash)'!F$39)+('Unit costs'!$E171*'Financial impact (cash)'!F$41)+('Unit costs'!$F171*'Financial impact (cash)'!F$42)+('Unit costs'!$D171*'Financial impact (cash)'!F$40)</f>
        <v>155.51431117828304</v>
      </c>
      <c r="G207" s="128">
        <f>('Unit costs'!$C171*'Financial impact (cash)'!G$39)+('Unit costs'!$E171*'Financial impact (cash)'!G$41)+('Unit costs'!$F171*'Financial impact (cash)'!G$42)+('Unit costs'!$D171*'Financial impact (cash)'!G$40)</f>
        <v>157.0137502245496</v>
      </c>
      <c r="H207" s="128">
        <f>('Unit costs'!$C171*'Financial impact (cash)'!H$39)+('Unit costs'!$E171*'Financial impact (cash)'!H$41)+('Unit costs'!$F171*'Financial impact (cash)'!H$42)+('Unit costs'!$D171*'Financial impact (cash)'!H$40)</f>
        <v>158.5276465734041</v>
      </c>
      <c r="I207" s="128">
        <f>('Unit costs'!$C171*'Financial impact (cash)'!I$39)+('Unit costs'!$E171*'Financial impact (cash)'!I$41)+('Unit costs'!$F171*'Financial impact (cash)'!I$42)+('Unit costs'!$D171*'Financial impact (cash)'!I$40)</f>
        <v>160.05613961937465</v>
      </c>
      <c r="J207" s="297"/>
      <c r="K207" s="297"/>
      <c r="L207" s="299">
        <f>(D207*'Unit costs'!$I151)/1000</f>
        <v>440.82868263499302</v>
      </c>
      <c r="M207" s="299">
        <f>(E207*'Unit costs'!$I151)/1000</f>
        <v>367.55407768042028</v>
      </c>
      <c r="N207" s="299">
        <f>(F207*'Unit costs'!$I151)/1000</f>
        <v>290.45359899468542</v>
      </c>
      <c r="O207" s="299">
        <f>(G207*'Unit costs'!$I151)/1000</f>
        <v>293.25409667339738</v>
      </c>
      <c r="P207" s="299">
        <f>(H207*'Unit costs'!$I151)/1000</f>
        <v>296.08159621153067</v>
      </c>
      <c r="Q207" s="299">
        <f>(I207*'Unit costs'!$I151)/1000</f>
        <v>298.93635795581503</v>
      </c>
      <c r="R207" s="711"/>
      <c r="S207" s="133"/>
      <c r="T207" s="133"/>
      <c r="U207" s="133"/>
      <c r="V207" s="133"/>
      <c r="W207" s="133"/>
      <c r="X207" s="133"/>
      <c r="Y207" s="133"/>
      <c r="Z207" s="133"/>
      <c r="AJ207" s="292"/>
      <c r="AK207" s="292"/>
      <c r="AL207" s="292"/>
      <c r="AM207" s="292"/>
      <c r="AN207" s="292"/>
    </row>
    <row r="208" spans="1:40" x14ac:dyDescent="0.25">
      <c r="A208" s="297"/>
      <c r="B208" s="253" t="s">
        <v>1121</v>
      </c>
      <c r="C208" s="168"/>
      <c r="D208" s="128">
        <f>('Unit costs'!$C172*'Financial impact (cash)'!D$39)+('Unit costs'!$E172*'Financial impact (cash)'!D$41)+('Unit costs'!$F172*'Financial impact (cash)'!D$42)+('Unit costs'!$D172*'Financial impact (cash)'!D$40)</f>
        <v>249.24271909183449</v>
      </c>
      <c r="E208" s="128">
        <f>('Unit costs'!$C172*'Financial impact (cash)'!E$39)+('Unit costs'!$E172*'Financial impact (cash)'!E$41)+('Unit costs'!$F172*'Financial impact (cash)'!E$42)+('Unit costs'!$D172*'Financial impact (cash)'!E$40)</f>
        <v>257.1684920164185</v>
      </c>
      <c r="F208" s="128">
        <f>('Unit costs'!$C172*'Financial impact (cash)'!F$39)+('Unit costs'!$E172*'Financial impact (cash)'!F$41)+('Unit costs'!$F172*'Financial impact (cash)'!F$42)+('Unit costs'!$D172*'Financial impact (cash)'!F$40)</f>
        <v>265.39289755965655</v>
      </c>
      <c r="G208" s="128">
        <f>('Unit costs'!$C172*'Financial impact (cash)'!G$39)+('Unit costs'!$E172*'Financial impact (cash)'!G$41)+('Unit costs'!$F172*'Financial impact (cash)'!G$42)+('Unit costs'!$D172*'Financial impact (cash)'!G$40)</f>
        <v>267.95176478022103</v>
      </c>
      <c r="H208" s="128">
        <f>('Unit costs'!$C172*'Financial impact (cash)'!H$39)+('Unit costs'!$E172*'Financial impact (cash)'!H$41)+('Unit costs'!$F172*'Financial impact (cash)'!H$42)+('Unit costs'!$D172*'Financial impact (cash)'!H$40)</f>
        <v>270.53530410585182</v>
      </c>
      <c r="I208" s="128">
        <f>('Unit costs'!$C172*'Financial impact (cash)'!I$39)+('Unit costs'!$E172*'Financial impact (cash)'!I$41)+('Unit costs'!$F172*'Financial impact (cash)'!I$42)+('Unit costs'!$D172*'Financial impact (cash)'!I$40)</f>
        <v>273.14375342023584</v>
      </c>
      <c r="J208" s="297"/>
      <c r="K208" s="297"/>
      <c r="L208" s="299">
        <f>(D208*'Unit costs'!$I152)/1000</f>
        <v>626.16237658888269</v>
      </c>
      <c r="M208" s="299">
        <f>(E208*'Unit costs'!$I152)/1000</f>
        <v>646.07397452379666</v>
      </c>
      <c r="N208" s="299">
        <f>(F208*'Unit costs'!$I152)/1000</f>
        <v>666.73581507725032</v>
      </c>
      <c r="O208" s="299">
        <f>(G208*'Unit costs'!$I152)/1000</f>
        <v>673.16435343553098</v>
      </c>
      <c r="P208" s="299">
        <f>(H208*'Unit costs'!$I152)/1000</f>
        <v>679.65487452293644</v>
      </c>
      <c r="Q208" s="299">
        <f>(I208*'Unit costs'!$I152)/1000</f>
        <v>686.20797596500722</v>
      </c>
      <c r="R208" s="711"/>
      <c r="S208" s="133"/>
      <c r="T208" s="133"/>
      <c r="U208" s="133"/>
      <c r="V208" s="133"/>
      <c r="W208" s="133"/>
      <c r="X208" s="133"/>
      <c r="Y208" s="133"/>
      <c r="Z208" s="133"/>
      <c r="AJ208" s="292"/>
      <c r="AK208" s="292"/>
      <c r="AL208" s="292"/>
      <c r="AM208" s="292"/>
      <c r="AN208" s="292"/>
    </row>
    <row r="209" spans="1:40" x14ac:dyDescent="0.25">
      <c r="A209" s="297"/>
      <c r="B209" s="253" t="s">
        <v>1122</v>
      </c>
      <c r="C209" s="168"/>
      <c r="D209" s="128">
        <f>('Unit costs'!$C173*'Financial impact (cash)'!D$39)+('Unit costs'!$E173*'Financial impact (cash)'!D$41)+('Unit costs'!$F173*'Financial impact (cash)'!D$42)+('Unit costs'!$D173*'Financial impact (cash)'!D$40)</f>
        <v>166.05875652366407</v>
      </c>
      <c r="E209" s="128">
        <f>('Unit costs'!$C173*'Financial impact (cash)'!E$39)+('Unit costs'!$E173*'Financial impact (cash)'!E$41)+('Unit costs'!$F173*'Financial impact (cash)'!E$42)+('Unit costs'!$D173*'Financial impact (cash)'!E$40)</f>
        <v>294.74351606215396</v>
      </c>
      <c r="F209" s="128">
        <f>('Unit costs'!$C173*'Financial impact (cash)'!F$39)+('Unit costs'!$E173*'Financial impact (cash)'!F$41)+('Unit costs'!$F173*'Financial impact (cash)'!F$42)+('Unit costs'!$D173*'Financial impact (cash)'!F$40)</f>
        <v>429.78249596811884</v>
      </c>
      <c r="G209" s="128">
        <f>('Unit costs'!$C173*'Financial impact (cash)'!G$39)+('Unit costs'!$E173*'Financial impact (cash)'!G$41)+('Unit costs'!$F173*'Financial impact (cash)'!G$42)+('Unit costs'!$D173*'Financial impact (cash)'!G$40)</f>
        <v>433.92637604561037</v>
      </c>
      <c r="H209" s="128">
        <f>('Unit costs'!$C173*'Financial impact (cash)'!H$39)+('Unit costs'!$E173*'Financial impact (cash)'!H$41)+('Unit costs'!$F173*'Financial impact (cash)'!H$42)+('Unit costs'!$D173*'Financial impact (cash)'!H$40)</f>
        <v>438.11021061696243</v>
      </c>
      <c r="I209" s="128">
        <f>('Unit costs'!$C173*'Financial impact (cash)'!I$39)+('Unit costs'!$E173*'Financial impact (cash)'!I$41)+('Unit costs'!$F173*'Financial impact (cash)'!I$42)+('Unit costs'!$D173*'Financial impact (cash)'!I$40)</f>
        <v>442.33438491571252</v>
      </c>
      <c r="J209" s="297"/>
      <c r="K209" s="297"/>
      <c r="L209" s="299">
        <f>(D209*'Unit costs'!$I153)/1000</f>
        <v>164.95758411001853</v>
      </c>
      <c r="M209" s="299">
        <f>(E209*'Unit costs'!$I153)/1000</f>
        <v>292.78900649106561</v>
      </c>
      <c r="N209" s="299">
        <f>(F209*'Unit costs'!$I153)/1000</f>
        <v>426.93251299621591</v>
      </c>
      <c r="O209" s="299">
        <f>(G209*'Unit costs'!$I153)/1000</f>
        <v>431.04891408661689</v>
      </c>
      <c r="P209" s="299">
        <f>(H209*'Unit costs'!$I153)/1000</f>
        <v>435.20500472377557</v>
      </c>
      <c r="Q209" s="299">
        <f>(I209*'Unit costs'!$I153)/1000</f>
        <v>439.40116758666051</v>
      </c>
      <c r="R209" s="711"/>
      <c r="S209" s="133"/>
      <c r="T209" s="133"/>
      <c r="U209" s="133"/>
      <c r="V209" s="133"/>
      <c r="W209" s="133"/>
      <c r="X209" s="133"/>
      <c r="Y209" s="133"/>
      <c r="Z209" s="133"/>
      <c r="AJ209" s="292"/>
      <c r="AK209" s="292"/>
      <c r="AL209" s="292"/>
      <c r="AM209" s="292"/>
      <c r="AN209" s="292"/>
    </row>
    <row r="210" spans="1:40" x14ac:dyDescent="0.25">
      <c r="A210" s="297"/>
      <c r="B210" s="286"/>
      <c r="C210" s="211"/>
      <c r="D210" s="187">
        <f>SUM(D193:D209)</f>
        <v>1906.179201248671</v>
      </c>
      <c r="E210" s="187">
        <f t="shared" ref="E210:I210" si="62">SUM(E193:E209)</f>
        <v>2092.7003729082699</v>
      </c>
      <c r="F210" s="187">
        <f t="shared" si="62"/>
        <v>2287.7854841490471</v>
      </c>
      <c r="G210" s="187">
        <f t="shared" si="62"/>
        <v>2309.8438713059836</v>
      </c>
      <c r="H210" s="187">
        <f t="shared" si="62"/>
        <v>2332.1149411848514</v>
      </c>
      <c r="I210" s="187">
        <f t="shared" si="62"/>
        <v>2354.6007444315082</v>
      </c>
      <c r="J210" s="297"/>
      <c r="K210" s="297"/>
      <c r="L210" s="300">
        <f>SUM(L193:L209)</f>
        <v>3128.6705486793649</v>
      </c>
      <c r="M210" s="300">
        <f t="shared" ref="M210:P210" si="63">SUM(M193:M209)</f>
        <v>3276.8115669517456</v>
      </c>
      <c r="N210" s="300">
        <f t="shared" si="63"/>
        <v>3431.1278932610944</v>
      </c>
      <c r="O210" s="300">
        <f t="shared" si="63"/>
        <v>3464.2101677920341</v>
      </c>
      <c r="P210" s="300">
        <f t="shared" si="63"/>
        <v>3497.6114152444698</v>
      </c>
      <c r="Q210" s="300">
        <f>SUM(Q193:Q209)</f>
        <v>3531.3347110938962</v>
      </c>
      <c r="R210" s="711"/>
      <c r="S210" s="133"/>
      <c r="T210" s="133"/>
      <c r="U210" s="133"/>
      <c r="V210" s="133"/>
      <c r="W210" s="133"/>
      <c r="X210" s="133"/>
      <c r="Y210" s="133"/>
      <c r="Z210" s="133"/>
      <c r="AJ210" s="292"/>
      <c r="AK210" s="292"/>
      <c r="AL210" s="292"/>
      <c r="AM210" s="292"/>
      <c r="AN210" s="292"/>
    </row>
    <row r="211" spans="1:40" x14ac:dyDescent="0.25">
      <c r="A211" s="297"/>
      <c r="B211" s="312"/>
      <c r="C211" s="211"/>
      <c r="D211" s="291" t="s">
        <v>778</v>
      </c>
      <c r="E211" s="187">
        <f>E210-$D$210</f>
        <v>186.52117165959885</v>
      </c>
      <c r="F211" s="187">
        <f>F210-$D$210</f>
        <v>381.60628290037607</v>
      </c>
      <c r="G211" s="187">
        <f>G210-$D$210</f>
        <v>403.66467005731261</v>
      </c>
      <c r="H211" s="187">
        <f>H210-$D$210</f>
        <v>425.93573993618043</v>
      </c>
      <c r="I211" s="187">
        <f>I210-$D$210</f>
        <v>448.42154318283724</v>
      </c>
      <c r="J211" s="297"/>
      <c r="K211" s="297"/>
      <c r="L211" s="593"/>
      <c r="M211" s="300">
        <f>M210-$L$210</f>
        <v>148.14101827238073</v>
      </c>
      <c r="N211" s="300">
        <f>N210-$L$210</f>
        <v>302.45734458172956</v>
      </c>
      <c r="O211" s="300">
        <f>O210-$L$210</f>
        <v>335.53961911266924</v>
      </c>
      <c r="P211" s="300">
        <f>P210-$L$210</f>
        <v>368.9408665651049</v>
      </c>
      <c r="Q211" s="300">
        <f>Q210-$L$210</f>
        <v>402.66416241453135</v>
      </c>
    </row>
    <row r="212" spans="1:40" x14ac:dyDescent="0.25">
      <c r="A212" s="297"/>
      <c r="B212" s="297"/>
      <c r="C212" s="297"/>
      <c r="D212" s="297"/>
      <c r="E212" s="297"/>
      <c r="F212" s="297"/>
      <c r="G212" s="297"/>
      <c r="H212" s="297"/>
      <c r="I212" s="297"/>
      <c r="J212" s="297"/>
      <c r="K212" s="297"/>
      <c r="L212" s="297"/>
      <c r="M212" s="297"/>
      <c r="N212" s="297"/>
      <c r="O212" s="297"/>
      <c r="P212" s="297"/>
      <c r="Q212" s="297"/>
    </row>
    <row r="213" spans="1:40" x14ac:dyDescent="0.25">
      <c r="B213"/>
    </row>
    <row r="214" spans="1:40" x14ac:dyDescent="0.25">
      <c r="B214"/>
    </row>
    <row r="215" spans="1:40" x14ac:dyDescent="0.25">
      <c r="B215"/>
    </row>
    <row r="216" spans="1:40" x14ac:dyDescent="0.25">
      <c r="B216"/>
    </row>
    <row r="217" spans="1:40" x14ac:dyDescent="0.25">
      <c r="B217"/>
    </row>
  </sheetData>
  <sheetProtection algorithmName="SHA-512" hashValue="nPPmQfuHV38zT7g7dtqGGEnfm0h6sI3Wuwe9p76vzvCjGUTjriMDq/UTblz5m3+7WKSZlKyy2Ky1bzmFobOSPQ==" saltValue="/UBulq7q+4d9lb1rzFAb4g==" spinCount="100000" sheet="1" objects="1" scenarios="1"/>
  <protectedRanges>
    <protectedRange sqref="B193:B209" name="Range1_1_1"/>
  </protectedRanges>
  <pageMargins left="0.70866141732283472" right="0.70866141732283472" top="0.74803149606299213" bottom="0.74803149606299213" header="0.31496062992125984" footer="0.31496062992125984"/>
  <pageSetup paperSize="9" scale="33" fitToHeight="0" orientation="portrait" horizontalDpi="4294967293" r:id="rId1"/>
  <rowBreaks count="1" manualBreakCount="1">
    <brk id="142" min="1"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HU113"/>
  <sheetViews>
    <sheetView zoomScale="80" zoomScaleNormal="80" workbookViewId="0">
      <selection activeCell="F1" sqref="F1"/>
    </sheetView>
  </sheetViews>
  <sheetFormatPr defaultColWidth="8.5703125" defaultRowHeight="15" x14ac:dyDescent="0.25"/>
  <cols>
    <col min="1" max="1" width="13.5703125" customWidth="1"/>
    <col min="3" max="4" width="11.85546875" customWidth="1"/>
    <col min="5" max="5" width="10.42578125" style="498" customWidth="1"/>
    <col min="6" max="6" width="11.85546875" customWidth="1"/>
    <col min="7" max="7" width="12.5703125" customWidth="1"/>
    <col min="8" max="8" width="11.85546875" hidden="1" customWidth="1"/>
    <col min="9" max="9" width="8.85546875" hidden="1" customWidth="1"/>
    <col min="10" max="10" width="9.42578125" hidden="1" customWidth="1"/>
    <col min="11" max="11" width="10.42578125" hidden="1" customWidth="1"/>
    <col min="12" max="12" width="10.5703125" hidden="1" customWidth="1"/>
    <col min="13" max="13" width="11.42578125" hidden="1" customWidth="1"/>
    <col min="14" max="14" width="11.85546875" hidden="1" customWidth="1"/>
    <col min="15" max="15" width="11.85546875" customWidth="1"/>
    <col min="16" max="16" width="24.42578125" bestFit="1" customWidth="1"/>
    <col min="17" max="17" width="31.5703125" bestFit="1" customWidth="1"/>
    <col min="18" max="18" width="15.140625" style="499" bestFit="1" customWidth="1"/>
    <col min="19" max="22" width="9" customWidth="1"/>
    <col min="23" max="23" width="17.85546875" customWidth="1"/>
    <col min="24" max="24" width="12.5703125" customWidth="1"/>
    <col min="25" max="25" width="23.140625" customWidth="1"/>
    <col min="26" max="27" width="5.42578125" customWidth="1"/>
    <col min="28" max="28" width="13.42578125" customWidth="1"/>
    <col min="29" max="29" width="14.42578125" customWidth="1"/>
    <col min="30" max="30" width="10.42578125" customWidth="1"/>
  </cols>
  <sheetData>
    <row r="1" spans="1:22" ht="29.1" customHeight="1" x14ac:dyDescent="0.25"/>
    <row r="3" spans="1:22" ht="15.75" thickBot="1" x14ac:dyDescent="0.3">
      <c r="B3" s="804" t="s">
        <v>780</v>
      </c>
      <c r="C3" s="805"/>
      <c r="D3" s="805"/>
      <c r="E3" s="805"/>
      <c r="F3" s="805"/>
      <c r="G3" s="806"/>
      <c r="H3" s="807" t="s">
        <v>373</v>
      </c>
      <c r="I3" s="808"/>
      <c r="J3" s="808"/>
      <c r="K3" s="808"/>
      <c r="L3" s="808"/>
      <c r="M3" s="808"/>
      <c r="N3" s="809"/>
      <c r="O3" s="500"/>
      <c r="P3" s="500"/>
    </row>
    <row r="4" spans="1:22" ht="71.45" customHeight="1" x14ac:dyDescent="0.25">
      <c r="A4" s="540" t="s">
        <v>781</v>
      </c>
      <c r="B4" s="548" t="s">
        <v>782</v>
      </c>
      <c r="C4" s="549" t="s">
        <v>783</v>
      </c>
      <c r="D4" s="549" t="s">
        <v>784</v>
      </c>
      <c r="E4" s="550" t="s">
        <v>785</v>
      </c>
      <c r="F4" s="549" t="s">
        <v>786</v>
      </c>
      <c r="G4" s="551" t="s">
        <v>787</v>
      </c>
      <c r="H4" s="543" t="s">
        <v>783</v>
      </c>
      <c r="I4" s="544" t="s">
        <v>788</v>
      </c>
      <c r="J4" s="544" t="s">
        <v>373</v>
      </c>
      <c r="K4" s="544" t="s">
        <v>784</v>
      </c>
      <c r="L4" s="544" t="s">
        <v>785</v>
      </c>
      <c r="M4" s="544" t="s">
        <v>786</v>
      </c>
      <c r="N4" s="545" t="s">
        <v>787</v>
      </c>
      <c r="O4" s="501"/>
      <c r="P4" s="520" t="s">
        <v>781</v>
      </c>
      <c r="Q4" s="523" t="s">
        <v>946</v>
      </c>
      <c r="R4" s="520" t="s">
        <v>787</v>
      </c>
      <c r="S4" s="521" t="s">
        <v>947</v>
      </c>
      <c r="T4" s="524" t="s">
        <v>791</v>
      </c>
      <c r="U4" s="521" t="s">
        <v>789</v>
      </c>
      <c r="V4" s="521" t="s">
        <v>790</v>
      </c>
    </row>
    <row r="5" spans="1:22" x14ac:dyDescent="0.25">
      <c r="A5" s="541">
        <v>2</v>
      </c>
      <c r="B5" s="525" t="s">
        <v>792</v>
      </c>
      <c r="C5" s="767">
        <v>22383.9</v>
      </c>
      <c r="D5" s="502">
        <f>(C5-$B$110)*0.138</f>
        <v>1833.1782000000003</v>
      </c>
      <c r="E5" s="526">
        <f t="shared" ref="E5:E68" si="0">C5*0.005</f>
        <v>111.91950000000001</v>
      </c>
      <c r="F5" s="502">
        <f t="shared" ref="F5:F68" si="1">C5*0.2068</f>
        <v>4628.9905200000003</v>
      </c>
      <c r="G5" s="527">
        <f>SUM(C5:F5)</f>
        <v>28957.988220000003</v>
      </c>
      <c r="H5" s="546">
        <f t="shared" ref="H5:H68" si="2">C5</f>
        <v>22383.9</v>
      </c>
      <c r="I5" s="547">
        <v>5132.4000000000005</v>
      </c>
      <c r="J5" s="547">
        <f t="shared" ref="J5:J68" si="3">C5+I5</f>
        <v>27516.300000000003</v>
      </c>
      <c r="K5" s="547">
        <f t="shared" ref="K5:K36" si="4">(J5-$B$110)*0.138</f>
        <v>2541.4494000000004</v>
      </c>
      <c r="L5" s="547">
        <f t="shared" ref="L5:L68" si="5">J5*0.005</f>
        <v>137.58150000000001</v>
      </c>
      <c r="M5" s="547">
        <f t="shared" ref="M5:M68" si="6">J5*0.2068</f>
        <v>5690.3708400000005</v>
      </c>
      <c r="N5" s="547">
        <f t="shared" ref="N5:N68" si="7">SUM(J5:M5)</f>
        <v>35885.701740000004</v>
      </c>
      <c r="O5" s="503"/>
      <c r="P5" s="502" t="s">
        <v>793</v>
      </c>
      <c r="Q5" s="149" t="s">
        <v>794</v>
      </c>
      <c r="R5" s="517">
        <f>G5</f>
        <v>28957.988220000003</v>
      </c>
      <c r="S5" s="719">
        <v>1560</v>
      </c>
      <c r="T5" s="522">
        <f t="shared" ref="T5:T41" si="8">ROUND(R5/S5,2)</f>
        <v>18.559999999999999</v>
      </c>
      <c r="U5" s="518">
        <v>0.41</v>
      </c>
      <c r="V5" s="518">
        <v>0.83</v>
      </c>
    </row>
    <row r="6" spans="1:22" x14ac:dyDescent="0.25">
      <c r="A6" s="541">
        <v>2</v>
      </c>
      <c r="B6" s="525" t="s">
        <v>795</v>
      </c>
      <c r="C6" s="767">
        <v>22383.9</v>
      </c>
      <c r="D6" s="502">
        <f t="shared" ref="D6:D36" si="9">(C6-$B$110)*0.138</f>
        <v>1833.1782000000003</v>
      </c>
      <c r="E6" s="526">
        <f t="shared" si="0"/>
        <v>111.91950000000001</v>
      </c>
      <c r="F6" s="502">
        <f t="shared" si="1"/>
        <v>4628.9905200000003</v>
      </c>
      <c r="G6" s="527">
        <f t="shared" ref="G6:G68" si="10">SUM(C6:F6)</f>
        <v>28957.988220000003</v>
      </c>
      <c r="H6" s="546">
        <f t="shared" si="2"/>
        <v>22383.9</v>
      </c>
      <c r="I6" s="547">
        <v>5132.4000000000005</v>
      </c>
      <c r="J6" s="547">
        <f t="shared" si="3"/>
        <v>27516.300000000003</v>
      </c>
      <c r="K6" s="547">
        <f t="shared" si="4"/>
        <v>2541.4494000000004</v>
      </c>
      <c r="L6" s="547">
        <f t="shared" si="5"/>
        <v>137.58150000000001</v>
      </c>
      <c r="M6" s="547">
        <f t="shared" si="6"/>
        <v>5690.3708400000005</v>
      </c>
      <c r="N6" s="547">
        <f>SUM(J6:M6)</f>
        <v>35885.701740000004</v>
      </c>
      <c r="O6" s="503"/>
      <c r="P6" s="502" t="s">
        <v>793</v>
      </c>
      <c r="Q6" s="149" t="s">
        <v>796</v>
      </c>
      <c r="R6" s="517">
        <f>G8</f>
        <v>28957.988220000003</v>
      </c>
      <c r="S6" s="719">
        <v>1560</v>
      </c>
      <c r="T6" s="522">
        <f t="shared" si="8"/>
        <v>18.559999999999999</v>
      </c>
      <c r="U6" s="518">
        <v>0.41</v>
      </c>
      <c r="V6" s="518">
        <v>0.83</v>
      </c>
    </row>
    <row r="7" spans="1:22" x14ac:dyDescent="0.25">
      <c r="A7" s="541">
        <v>2</v>
      </c>
      <c r="B7" s="525" t="s">
        <v>797</v>
      </c>
      <c r="C7" s="767">
        <v>22383.9</v>
      </c>
      <c r="D7" s="502">
        <f t="shared" si="9"/>
        <v>1833.1782000000003</v>
      </c>
      <c r="E7" s="526">
        <f t="shared" si="0"/>
        <v>111.91950000000001</v>
      </c>
      <c r="F7" s="502">
        <f t="shared" si="1"/>
        <v>4628.9905200000003</v>
      </c>
      <c r="G7" s="527">
        <f t="shared" si="10"/>
        <v>28957.988220000003</v>
      </c>
      <c r="H7" s="546">
        <f t="shared" si="2"/>
        <v>22383.9</v>
      </c>
      <c r="I7" s="547">
        <v>5132.4000000000005</v>
      </c>
      <c r="J7" s="547">
        <f t="shared" si="3"/>
        <v>27516.300000000003</v>
      </c>
      <c r="K7" s="547">
        <f t="shared" si="4"/>
        <v>2541.4494000000004</v>
      </c>
      <c r="L7" s="547">
        <f t="shared" si="5"/>
        <v>137.58150000000001</v>
      </c>
      <c r="M7" s="547">
        <f t="shared" si="6"/>
        <v>5690.3708400000005</v>
      </c>
      <c r="N7" s="547">
        <f t="shared" si="7"/>
        <v>35885.701740000004</v>
      </c>
      <c r="O7" s="503"/>
      <c r="P7" s="502" t="s">
        <v>793</v>
      </c>
      <c r="Q7" s="149" t="s">
        <v>798</v>
      </c>
      <c r="R7" s="517">
        <f>G11</f>
        <v>28957.988220000003</v>
      </c>
      <c r="S7" s="719">
        <v>1560</v>
      </c>
      <c r="T7" s="522">
        <f t="shared" si="8"/>
        <v>18.559999999999999</v>
      </c>
      <c r="U7" s="518">
        <v>0.41</v>
      </c>
      <c r="V7" s="518">
        <v>0.83</v>
      </c>
    </row>
    <row r="8" spans="1:22" x14ac:dyDescent="0.25">
      <c r="A8" s="541">
        <v>2</v>
      </c>
      <c r="B8" s="525" t="s">
        <v>799</v>
      </c>
      <c r="C8" s="767">
        <v>22383.9</v>
      </c>
      <c r="D8" s="502">
        <f t="shared" si="9"/>
        <v>1833.1782000000003</v>
      </c>
      <c r="E8" s="526">
        <f t="shared" si="0"/>
        <v>111.91950000000001</v>
      </c>
      <c r="F8" s="502">
        <f t="shared" si="1"/>
        <v>4628.9905200000003</v>
      </c>
      <c r="G8" s="527">
        <f t="shared" si="10"/>
        <v>28957.988220000003</v>
      </c>
      <c r="H8" s="546">
        <f t="shared" si="2"/>
        <v>22383.9</v>
      </c>
      <c r="I8" s="547">
        <v>5132.4000000000005</v>
      </c>
      <c r="J8" s="547">
        <f t="shared" si="3"/>
        <v>27516.300000000003</v>
      </c>
      <c r="K8" s="547">
        <f t="shared" si="4"/>
        <v>2541.4494000000004</v>
      </c>
      <c r="L8" s="547">
        <f t="shared" si="5"/>
        <v>137.58150000000001</v>
      </c>
      <c r="M8" s="547">
        <f t="shared" si="6"/>
        <v>5690.3708400000005</v>
      </c>
      <c r="N8" s="547">
        <f t="shared" si="7"/>
        <v>35885.701740000004</v>
      </c>
      <c r="O8" s="503"/>
      <c r="P8" s="502" t="s">
        <v>800</v>
      </c>
      <c r="Q8" s="149" t="s">
        <v>801</v>
      </c>
      <c r="R8" s="517">
        <f>G12</f>
        <v>29541.911700000001</v>
      </c>
      <c r="S8" s="719">
        <v>1560</v>
      </c>
      <c r="T8" s="522">
        <f t="shared" si="8"/>
        <v>18.940000000000001</v>
      </c>
      <c r="U8" s="518">
        <v>0.35</v>
      </c>
      <c r="V8" s="518">
        <v>0.69</v>
      </c>
    </row>
    <row r="9" spans="1:22" x14ac:dyDescent="0.25">
      <c r="A9" s="541">
        <v>2</v>
      </c>
      <c r="B9" s="525" t="s">
        <v>802</v>
      </c>
      <c r="C9" s="767">
        <v>22383.9</v>
      </c>
      <c r="D9" s="502">
        <f t="shared" si="9"/>
        <v>1833.1782000000003</v>
      </c>
      <c r="E9" s="526">
        <f t="shared" si="0"/>
        <v>111.91950000000001</v>
      </c>
      <c r="F9" s="502">
        <f t="shared" si="1"/>
        <v>4628.9905200000003</v>
      </c>
      <c r="G9" s="527">
        <f t="shared" si="10"/>
        <v>28957.988220000003</v>
      </c>
      <c r="H9" s="546">
        <f t="shared" si="2"/>
        <v>22383.9</v>
      </c>
      <c r="I9" s="547">
        <v>5132.4000000000005</v>
      </c>
      <c r="J9" s="547">
        <f t="shared" si="3"/>
        <v>27516.300000000003</v>
      </c>
      <c r="K9" s="547">
        <f t="shared" si="4"/>
        <v>2541.4494000000004</v>
      </c>
      <c r="L9" s="547">
        <f t="shared" si="5"/>
        <v>137.58150000000001</v>
      </c>
      <c r="M9" s="547">
        <f t="shared" si="6"/>
        <v>5690.3708400000005</v>
      </c>
      <c r="N9" s="547">
        <f t="shared" si="7"/>
        <v>35885.701740000004</v>
      </c>
      <c r="O9" s="503"/>
      <c r="P9" s="502" t="s">
        <v>800</v>
      </c>
      <c r="Q9" s="149" t="s">
        <v>803</v>
      </c>
      <c r="R9" s="517">
        <f>G15</f>
        <v>31592.730330000006</v>
      </c>
      <c r="S9" s="719">
        <v>1560</v>
      </c>
      <c r="T9" s="522">
        <f t="shared" si="8"/>
        <v>20.25</v>
      </c>
      <c r="U9" s="518">
        <v>0.35</v>
      </c>
      <c r="V9" s="518">
        <v>0.69</v>
      </c>
    </row>
    <row r="10" spans="1:22" x14ac:dyDescent="0.25">
      <c r="A10" s="541">
        <v>2</v>
      </c>
      <c r="B10" s="525" t="s">
        <v>804</v>
      </c>
      <c r="C10" s="767">
        <v>22383.9</v>
      </c>
      <c r="D10" s="502">
        <f t="shared" si="9"/>
        <v>1833.1782000000003</v>
      </c>
      <c r="E10" s="526">
        <f t="shared" si="0"/>
        <v>111.91950000000001</v>
      </c>
      <c r="F10" s="502">
        <f t="shared" si="1"/>
        <v>4628.9905200000003</v>
      </c>
      <c r="G10" s="527">
        <f t="shared" si="10"/>
        <v>28957.988220000003</v>
      </c>
      <c r="H10" s="546">
        <f t="shared" si="2"/>
        <v>22383.9</v>
      </c>
      <c r="I10" s="547">
        <v>5132.4000000000005</v>
      </c>
      <c r="J10" s="547">
        <f t="shared" si="3"/>
        <v>27516.300000000003</v>
      </c>
      <c r="K10" s="547">
        <f t="shared" si="4"/>
        <v>2541.4494000000004</v>
      </c>
      <c r="L10" s="547">
        <f t="shared" si="5"/>
        <v>137.58150000000001</v>
      </c>
      <c r="M10" s="547">
        <f t="shared" si="6"/>
        <v>5690.3708400000005</v>
      </c>
      <c r="N10" s="547">
        <f t="shared" si="7"/>
        <v>35885.701740000004</v>
      </c>
      <c r="O10" s="503"/>
      <c r="P10" s="502" t="s">
        <v>800</v>
      </c>
      <c r="Q10" s="149" t="s">
        <v>805</v>
      </c>
      <c r="R10" s="517">
        <f>G18</f>
        <v>31592.730330000006</v>
      </c>
      <c r="S10" s="719">
        <v>1560</v>
      </c>
      <c r="T10" s="522">
        <f t="shared" si="8"/>
        <v>20.25</v>
      </c>
      <c r="U10" s="518">
        <v>0.35</v>
      </c>
      <c r="V10" s="518">
        <v>0.69</v>
      </c>
    </row>
    <row r="11" spans="1:22" x14ac:dyDescent="0.25">
      <c r="A11" s="541">
        <v>2</v>
      </c>
      <c r="B11" s="525" t="s">
        <v>806</v>
      </c>
      <c r="C11" s="767">
        <v>22383.9</v>
      </c>
      <c r="D11" s="502">
        <f t="shared" si="9"/>
        <v>1833.1782000000003</v>
      </c>
      <c r="E11" s="526">
        <f t="shared" si="0"/>
        <v>111.91950000000001</v>
      </c>
      <c r="F11" s="502">
        <f t="shared" si="1"/>
        <v>4628.9905200000003</v>
      </c>
      <c r="G11" s="527">
        <f t="shared" si="10"/>
        <v>28957.988220000003</v>
      </c>
      <c r="H11" s="546">
        <f t="shared" si="2"/>
        <v>22383.9</v>
      </c>
      <c r="I11" s="547">
        <v>5132.4000000000005</v>
      </c>
      <c r="J11" s="547">
        <f t="shared" si="3"/>
        <v>27516.300000000003</v>
      </c>
      <c r="K11" s="547">
        <f t="shared" si="4"/>
        <v>2541.4494000000004</v>
      </c>
      <c r="L11" s="547">
        <f t="shared" si="5"/>
        <v>137.58150000000001</v>
      </c>
      <c r="M11" s="547">
        <f t="shared" si="6"/>
        <v>5690.3708400000005</v>
      </c>
      <c r="N11" s="547">
        <f t="shared" si="7"/>
        <v>35885.701740000004</v>
      </c>
      <c r="O11" s="503"/>
      <c r="P11" s="502" t="s">
        <v>807</v>
      </c>
      <c r="Q11" s="149" t="s">
        <v>808</v>
      </c>
      <c r="R11" s="517">
        <f>G19</f>
        <v>32686.878210000003</v>
      </c>
      <c r="S11" s="719">
        <v>1560</v>
      </c>
      <c r="T11" s="522">
        <f t="shared" si="8"/>
        <v>20.95</v>
      </c>
      <c r="U11" s="518">
        <v>0.3</v>
      </c>
      <c r="V11" s="518">
        <v>0.6</v>
      </c>
    </row>
    <row r="12" spans="1:22" x14ac:dyDescent="0.25">
      <c r="A12" s="541">
        <v>3</v>
      </c>
      <c r="B12" s="525" t="s">
        <v>809</v>
      </c>
      <c r="C12" s="767">
        <v>22816.5</v>
      </c>
      <c r="D12" s="502">
        <f t="shared" si="9"/>
        <v>1892.8770000000002</v>
      </c>
      <c r="E12" s="526">
        <f t="shared" si="0"/>
        <v>114.0825</v>
      </c>
      <c r="F12" s="502">
        <f t="shared" si="1"/>
        <v>4718.4522000000006</v>
      </c>
      <c r="G12" s="527">
        <f t="shared" si="10"/>
        <v>29541.911700000001</v>
      </c>
      <c r="H12" s="546">
        <f t="shared" si="2"/>
        <v>22816.5</v>
      </c>
      <c r="I12" s="547">
        <v>5132.4000000000005</v>
      </c>
      <c r="J12" s="547">
        <f t="shared" si="3"/>
        <v>27948.9</v>
      </c>
      <c r="K12" s="547">
        <f t="shared" si="4"/>
        <v>2601.1482000000005</v>
      </c>
      <c r="L12" s="547">
        <f t="shared" si="5"/>
        <v>139.74450000000002</v>
      </c>
      <c r="M12" s="547">
        <f t="shared" si="6"/>
        <v>5779.8325200000008</v>
      </c>
      <c r="N12" s="547">
        <f t="shared" si="7"/>
        <v>36469.625220000002</v>
      </c>
      <c r="O12" s="503"/>
      <c r="P12" s="502" t="s">
        <v>807</v>
      </c>
      <c r="Q12" s="149" t="s">
        <v>810</v>
      </c>
      <c r="R12" s="517">
        <f>G22</f>
        <v>35993.415780000003</v>
      </c>
      <c r="S12" s="719">
        <v>1560</v>
      </c>
      <c r="T12" s="522">
        <f t="shared" si="8"/>
        <v>23.07</v>
      </c>
      <c r="U12" s="518">
        <v>0.3</v>
      </c>
      <c r="V12" s="518">
        <v>0.6</v>
      </c>
    </row>
    <row r="13" spans="1:22" x14ac:dyDescent="0.25">
      <c r="A13" s="541">
        <v>3</v>
      </c>
      <c r="B13" s="525" t="s">
        <v>811</v>
      </c>
      <c r="C13" s="767">
        <v>22816.5</v>
      </c>
      <c r="D13" s="502">
        <f t="shared" si="9"/>
        <v>1892.8770000000002</v>
      </c>
      <c r="E13" s="526">
        <f t="shared" si="0"/>
        <v>114.0825</v>
      </c>
      <c r="F13" s="502">
        <f t="shared" si="1"/>
        <v>4718.4522000000006</v>
      </c>
      <c r="G13" s="527">
        <f t="shared" si="10"/>
        <v>29541.911700000001</v>
      </c>
      <c r="H13" s="546">
        <f t="shared" si="2"/>
        <v>22816.5</v>
      </c>
      <c r="I13" s="547">
        <v>5132.4000000000005</v>
      </c>
      <c r="J13" s="547">
        <f t="shared" si="3"/>
        <v>27948.9</v>
      </c>
      <c r="K13" s="547">
        <f t="shared" si="4"/>
        <v>2601.1482000000005</v>
      </c>
      <c r="L13" s="547">
        <f t="shared" si="5"/>
        <v>139.74450000000002</v>
      </c>
      <c r="M13" s="547">
        <f t="shared" si="6"/>
        <v>5779.8325200000008</v>
      </c>
      <c r="N13" s="547">
        <f t="shared" si="7"/>
        <v>36469.625220000002</v>
      </c>
      <c r="O13" s="503"/>
      <c r="P13" s="502" t="s">
        <v>807</v>
      </c>
      <c r="Q13" s="149" t="s">
        <v>812</v>
      </c>
      <c r="R13" s="517">
        <f>G25</f>
        <v>35993.415780000003</v>
      </c>
      <c r="S13" s="719">
        <v>1560</v>
      </c>
      <c r="T13" s="522">
        <f t="shared" si="8"/>
        <v>23.07</v>
      </c>
      <c r="U13" s="518">
        <v>0.3</v>
      </c>
      <c r="V13" s="518">
        <v>0.6</v>
      </c>
    </row>
    <row r="14" spans="1:22" x14ac:dyDescent="0.25">
      <c r="A14" s="541">
        <v>3</v>
      </c>
      <c r="B14" s="525" t="s">
        <v>813</v>
      </c>
      <c r="C14" s="767">
        <v>24335.850000000002</v>
      </c>
      <c r="D14" s="502">
        <f t="shared" si="9"/>
        <v>2102.5473000000006</v>
      </c>
      <c r="E14" s="526">
        <f t="shared" si="0"/>
        <v>121.67925000000001</v>
      </c>
      <c r="F14" s="502">
        <f t="shared" si="1"/>
        <v>5032.6537800000006</v>
      </c>
      <c r="G14" s="527">
        <f t="shared" si="10"/>
        <v>31592.730330000006</v>
      </c>
      <c r="H14" s="546">
        <f t="shared" si="2"/>
        <v>24335.850000000002</v>
      </c>
      <c r="I14" s="547">
        <v>5132.4000000000005</v>
      </c>
      <c r="J14" s="547">
        <f t="shared" si="3"/>
        <v>29468.250000000004</v>
      </c>
      <c r="K14" s="547">
        <f t="shared" si="4"/>
        <v>2810.8185000000008</v>
      </c>
      <c r="L14" s="547">
        <f t="shared" si="5"/>
        <v>147.34125000000003</v>
      </c>
      <c r="M14" s="547">
        <f t="shared" si="6"/>
        <v>6094.0341000000008</v>
      </c>
      <c r="N14" s="547">
        <f t="shared" si="7"/>
        <v>38520.443850000011</v>
      </c>
      <c r="O14" s="503"/>
      <c r="P14" s="502" t="s">
        <v>814</v>
      </c>
      <c r="Q14" s="149" t="s">
        <v>815</v>
      </c>
      <c r="R14" s="517">
        <f>G26</f>
        <v>37088.980949999997</v>
      </c>
      <c r="S14" s="719">
        <v>1560</v>
      </c>
      <c r="T14" s="522">
        <f t="shared" si="8"/>
        <v>23.77</v>
      </c>
      <c r="U14" s="518">
        <v>0.3</v>
      </c>
      <c r="V14" s="518">
        <v>0.6</v>
      </c>
    </row>
    <row r="15" spans="1:22" x14ac:dyDescent="0.25">
      <c r="A15" s="541">
        <v>3</v>
      </c>
      <c r="B15" s="525" t="s">
        <v>816</v>
      </c>
      <c r="C15" s="767">
        <v>24335.850000000002</v>
      </c>
      <c r="D15" s="502">
        <f t="shared" si="9"/>
        <v>2102.5473000000006</v>
      </c>
      <c r="E15" s="526">
        <f t="shared" si="0"/>
        <v>121.67925000000001</v>
      </c>
      <c r="F15" s="502">
        <f t="shared" si="1"/>
        <v>5032.6537800000006</v>
      </c>
      <c r="G15" s="527">
        <f t="shared" si="10"/>
        <v>31592.730330000006</v>
      </c>
      <c r="H15" s="546">
        <f t="shared" si="2"/>
        <v>24335.850000000002</v>
      </c>
      <c r="I15" s="547">
        <v>5132.4000000000005</v>
      </c>
      <c r="J15" s="547">
        <f t="shared" si="3"/>
        <v>29468.250000000004</v>
      </c>
      <c r="K15" s="547">
        <f t="shared" si="4"/>
        <v>2810.8185000000008</v>
      </c>
      <c r="L15" s="547">
        <f t="shared" si="5"/>
        <v>147.34125000000003</v>
      </c>
      <c r="M15" s="547">
        <f t="shared" si="6"/>
        <v>6094.0341000000008</v>
      </c>
      <c r="N15" s="547">
        <f t="shared" si="7"/>
        <v>38520.443850000011</v>
      </c>
      <c r="O15" s="503"/>
      <c r="P15" s="502" t="s">
        <v>814</v>
      </c>
      <c r="Q15" s="149" t="s">
        <v>91</v>
      </c>
      <c r="R15" s="517">
        <f>G29</f>
        <v>40100.722199999997</v>
      </c>
      <c r="S15" s="719">
        <v>1560</v>
      </c>
      <c r="T15" s="522">
        <f t="shared" si="8"/>
        <v>25.71</v>
      </c>
      <c r="U15" s="518">
        <v>0.3</v>
      </c>
      <c r="V15" s="518">
        <v>0.6</v>
      </c>
    </row>
    <row r="16" spans="1:22" x14ac:dyDescent="0.25">
      <c r="A16" s="541">
        <v>3</v>
      </c>
      <c r="B16" s="525" t="s">
        <v>817</v>
      </c>
      <c r="C16" s="767">
        <v>24335.850000000002</v>
      </c>
      <c r="D16" s="502">
        <f t="shared" si="9"/>
        <v>2102.5473000000006</v>
      </c>
      <c r="E16" s="526">
        <f t="shared" si="0"/>
        <v>121.67925000000001</v>
      </c>
      <c r="F16" s="502">
        <f t="shared" si="1"/>
        <v>5032.6537800000006</v>
      </c>
      <c r="G16" s="527">
        <f t="shared" si="10"/>
        <v>31592.730330000006</v>
      </c>
      <c r="H16" s="546">
        <f t="shared" si="2"/>
        <v>24335.850000000002</v>
      </c>
      <c r="I16" s="547">
        <v>5132.4000000000005</v>
      </c>
      <c r="J16" s="547">
        <f t="shared" si="3"/>
        <v>29468.250000000004</v>
      </c>
      <c r="K16" s="547">
        <f t="shared" si="4"/>
        <v>2810.8185000000008</v>
      </c>
      <c r="L16" s="547">
        <f t="shared" si="5"/>
        <v>147.34125000000003</v>
      </c>
      <c r="M16" s="547">
        <f t="shared" si="6"/>
        <v>6094.0341000000008</v>
      </c>
      <c r="N16" s="547">
        <f t="shared" si="7"/>
        <v>38520.443850000011</v>
      </c>
      <c r="O16" s="503"/>
      <c r="P16" s="502" t="s">
        <v>814</v>
      </c>
      <c r="Q16" s="149" t="s">
        <v>818</v>
      </c>
      <c r="R16" s="517">
        <f>G33</f>
        <v>45421.22886000001</v>
      </c>
      <c r="S16" s="719">
        <v>1560</v>
      </c>
      <c r="T16" s="522">
        <f t="shared" si="8"/>
        <v>29.12</v>
      </c>
      <c r="U16" s="518">
        <v>0.3</v>
      </c>
      <c r="V16" s="518">
        <v>0.6</v>
      </c>
    </row>
    <row r="17" spans="1:22" x14ac:dyDescent="0.25">
      <c r="A17" s="541">
        <v>3</v>
      </c>
      <c r="B17" s="525" t="s">
        <v>819</v>
      </c>
      <c r="C17" s="767">
        <v>24335.850000000002</v>
      </c>
      <c r="D17" s="502">
        <f t="shared" si="9"/>
        <v>2102.5473000000006</v>
      </c>
      <c r="E17" s="526">
        <f t="shared" si="0"/>
        <v>121.67925000000001</v>
      </c>
      <c r="F17" s="502">
        <f t="shared" si="1"/>
        <v>5032.6537800000006</v>
      </c>
      <c r="G17" s="527">
        <f t="shared" si="10"/>
        <v>31592.730330000006</v>
      </c>
      <c r="H17" s="546">
        <f t="shared" si="2"/>
        <v>24335.850000000002</v>
      </c>
      <c r="I17" s="547">
        <v>5132.4000000000005</v>
      </c>
      <c r="J17" s="547">
        <f t="shared" si="3"/>
        <v>29468.250000000004</v>
      </c>
      <c r="K17" s="547">
        <f t="shared" si="4"/>
        <v>2810.8185000000008</v>
      </c>
      <c r="L17" s="547">
        <f t="shared" si="5"/>
        <v>147.34125000000003</v>
      </c>
      <c r="M17" s="547">
        <f t="shared" si="6"/>
        <v>6094.0341000000008</v>
      </c>
      <c r="N17" s="547">
        <f t="shared" si="7"/>
        <v>38520.443850000011</v>
      </c>
      <c r="O17" s="503"/>
      <c r="P17" s="502" t="s">
        <v>820</v>
      </c>
      <c r="Q17" s="149" t="s">
        <v>821</v>
      </c>
      <c r="R17" s="517">
        <f>G34</f>
        <v>46515.37674</v>
      </c>
      <c r="S17" s="719">
        <v>1560</v>
      </c>
      <c r="T17" s="522">
        <f t="shared" si="8"/>
        <v>29.82</v>
      </c>
      <c r="U17" s="518">
        <v>0.3</v>
      </c>
      <c r="V17" s="518">
        <v>0.6</v>
      </c>
    </row>
    <row r="18" spans="1:22" x14ac:dyDescent="0.25">
      <c r="A18" s="541">
        <v>3</v>
      </c>
      <c r="B18" s="525" t="s">
        <v>822</v>
      </c>
      <c r="C18" s="767">
        <v>24335.850000000002</v>
      </c>
      <c r="D18" s="502">
        <f t="shared" si="9"/>
        <v>2102.5473000000006</v>
      </c>
      <c r="E18" s="526">
        <f t="shared" si="0"/>
        <v>121.67925000000001</v>
      </c>
      <c r="F18" s="502">
        <f t="shared" si="1"/>
        <v>5032.6537800000006</v>
      </c>
      <c r="G18" s="527">
        <f t="shared" si="10"/>
        <v>31592.730330000006</v>
      </c>
      <c r="H18" s="546">
        <f t="shared" si="2"/>
        <v>24335.850000000002</v>
      </c>
      <c r="I18" s="547">
        <v>5132.4000000000005</v>
      </c>
      <c r="J18" s="547">
        <f t="shared" si="3"/>
        <v>29468.250000000004</v>
      </c>
      <c r="K18" s="547">
        <f t="shared" si="4"/>
        <v>2810.8185000000008</v>
      </c>
      <c r="L18" s="547">
        <f t="shared" si="5"/>
        <v>147.34125000000003</v>
      </c>
      <c r="M18" s="547">
        <f t="shared" si="6"/>
        <v>6094.0341000000008</v>
      </c>
      <c r="N18" s="547">
        <f t="shared" si="7"/>
        <v>38520.443850000011</v>
      </c>
      <c r="O18" s="503"/>
      <c r="P18" s="502" t="s">
        <v>820</v>
      </c>
      <c r="Q18" s="149" t="s">
        <v>102</v>
      </c>
      <c r="R18" s="517">
        <f>G38</f>
        <v>49160.039879999989</v>
      </c>
      <c r="S18" s="719">
        <v>1560</v>
      </c>
      <c r="T18" s="522">
        <f t="shared" si="8"/>
        <v>31.51</v>
      </c>
      <c r="U18" s="518">
        <v>0.3</v>
      </c>
      <c r="V18" s="518">
        <v>0.6</v>
      </c>
    </row>
    <row r="19" spans="1:22" x14ac:dyDescent="0.25">
      <c r="A19" s="541">
        <v>4</v>
      </c>
      <c r="B19" s="525" t="s">
        <v>823</v>
      </c>
      <c r="C19" s="767">
        <v>25146.45</v>
      </c>
      <c r="D19" s="502">
        <f t="shared" si="9"/>
        <v>2214.4101000000005</v>
      </c>
      <c r="E19" s="526">
        <f t="shared" si="0"/>
        <v>125.73225000000001</v>
      </c>
      <c r="F19" s="502">
        <f t="shared" si="1"/>
        <v>5200.2858600000009</v>
      </c>
      <c r="G19" s="527">
        <f t="shared" si="10"/>
        <v>32686.878210000003</v>
      </c>
      <c r="H19" s="546">
        <f t="shared" si="2"/>
        <v>25146.45</v>
      </c>
      <c r="I19" s="547">
        <v>5132.4000000000005</v>
      </c>
      <c r="J19" s="547">
        <f t="shared" si="3"/>
        <v>30278.850000000002</v>
      </c>
      <c r="K19" s="547">
        <f t="shared" si="4"/>
        <v>2922.6813000000006</v>
      </c>
      <c r="L19" s="547">
        <f t="shared" si="5"/>
        <v>151.39425000000003</v>
      </c>
      <c r="M19" s="547">
        <f t="shared" si="6"/>
        <v>6261.6661800000011</v>
      </c>
      <c r="N19" s="547">
        <f t="shared" si="7"/>
        <v>39614.59173</v>
      </c>
      <c r="O19" s="503"/>
      <c r="P19" s="502" t="s">
        <v>820</v>
      </c>
      <c r="Q19" s="149" t="s">
        <v>824</v>
      </c>
      <c r="R19" s="517">
        <f>G42</f>
        <v>56269.166519999999</v>
      </c>
      <c r="S19" s="719">
        <v>1560</v>
      </c>
      <c r="T19" s="522">
        <f t="shared" si="8"/>
        <v>36.07</v>
      </c>
      <c r="U19" s="518">
        <v>0.3</v>
      </c>
      <c r="V19" s="518">
        <v>0.6</v>
      </c>
    </row>
    <row r="20" spans="1:22" x14ac:dyDescent="0.25">
      <c r="A20" s="541">
        <v>4</v>
      </c>
      <c r="B20" s="525" t="s">
        <v>825</v>
      </c>
      <c r="C20" s="767">
        <v>25146.45</v>
      </c>
      <c r="D20" s="502">
        <f t="shared" si="9"/>
        <v>2214.4101000000005</v>
      </c>
      <c r="E20" s="526">
        <f t="shared" si="0"/>
        <v>125.73225000000001</v>
      </c>
      <c r="F20" s="502">
        <f t="shared" si="1"/>
        <v>5200.2858600000009</v>
      </c>
      <c r="G20" s="527">
        <f t="shared" si="10"/>
        <v>32686.878210000003</v>
      </c>
      <c r="H20" s="546">
        <f t="shared" si="2"/>
        <v>25146.45</v>
      </c>
      <c r="I20" s="547">
        <v>5132.4000000000005</v>
      </c>
      <c r="J20" s="547">
        <f t="shared" si="3"/>
        <v>30278.850000000002</v>
      </c>
      <c r="K20" s="547">
        <f t="shared" si="4"/>
        <v>2922.6813000000006</v>
      </c>
      <c r="L20" s="547">
        <f t="shared" si="5"/>
        <v>151.39425000000003</v>
      </c>
      <c r="M20" s="547">
        <f t="shared" si="6"/>
        <v>6261.6661800000011</v>
      </c>
      <c r="N20" s="547">
        <f t="shared" si="7"/>
        <v>39614.59173</v>
      </c>
      <c r="O20" s="503"/>
      <c r="P20" s="502" t="s">
        <v>826</v>
      </c>
      <c r="Q20" s="149" t="s">
        <v>827</v>
      </c>
      <c r="R20" s="517">
        <f>G43</f>
        <v>57787.084110000011</v>
      </c>
      <c r="S20" s="719">
        <v>1560</v>
      </c>
      <c r="T20" s="522">
        <f t="shared" si="8"/>
        <v>37.04</v>
      </c>
      <c r="U20" s="518">
        <v>0.3</v>
      </c>
      <c r="V20" s="518">
        <v>0.6</v>
      </c>
    </row>
    <row r="21" spans="1:22" x14ac:dyDescent="0.25">
      <c r="A21" s="541">
        <v>4</v>
      </c>
      <c r="B21" s="525" t="s">
        <v>828</v>
      </c>
      <c r="C21" s="767">
        <v>25146.45</v>
      </c>
      <c r="D21" s="502">
        <f t="shared" si="9"/>
        <v>2214.4101000000005</v>
      </c>
      <c r="E21" s="526">
        <f t="shared" si="0"/>
        <v>125.73225000000001</v>
      </c>
      <c r="F21" s="502">
        <f t="shared" si="1"/>
        <v>5200.2858600000009</v>
      </c>
      <c r="G21" s="527">
        <f t="shared" si="10"/>
        <v>32686.878210000003</v>
      </c>
      <c r="H21" s="546">
        <f t="shared" si="2"/>
        <v>25146.45</v>
      </c>
      <c r="I21" s="547">
        <v>5132.4000000000005</v>
      </c>
      <c r="J21" s="547">
        <f t="shared" si="3"/>
        <v>30278.850000000002</v>
      </c>
      <c r="K21" s="547">
        <f t="shared" si="4"/>
        <v>2922.6813000000006</v>
      </c>
      <c r="L21" s="547">
        <f t="shared" si="5"/>
        <v>151.39425000000003</v>
      </c>
      <c r="M21" s="547">
        <f t="shared" si="6"/>
        <v>6261.6661800000011</v>
      </c>
      <c r="N21" s="547">
        <f t="shared" si="7"/>
        <v>39614.59173</v>
      </c>
      <c r="O21" s="503"/>
      <c r="P21" s="502" t="s">
        <v>826</v>
      </c>
      <c r="Q21" s="149" t="s">
        <v>88</v>
      </c>
      <c r="R21" s="517">
        <f>G47</f>
        <v>60830.005740000008</v>
      </c>
      <c r="S21" s="719">
        <v>1560</v>
      </c>
      <c r="T21" s="522">
        <f t="shared" si="8"/>
        <v>38.99</v>
      </c>
      <c r="U21" s="518">
        <v>0.3</v>
      </c>
      <c r="V21" s="518">
        <v>0.6</v>
      </c>
    </row>
    <row r="22" spans="1:22" x14ac:dyDescent="0.25">
      <c r="A22" s="541">
        <v>4</v>
      </c>
      <c r="B22" s="525" t="s">
        <v>829</v>
      </c>
      <c r="C22" s="767">
        <v>27596.100000000002</v>
      </c>
      <c r="D22" s="502">
        <f t="shared" si="9"/>
        <v>2552.4618000000005</v>
      </c>
      <c r="E22" s="526">
        <f t="shared" si="0"/>
        <v>137.98050000000001</v>
      </c>
      <c r="F22" s="502">
        <f t="shared" si="1"/>
        <v>5706.8734800000011</v>
      </c>
      <c r="G22" s="527">
        <f t="shared" si="10"/>
        <v>35993.415780000003</v>
      </c>
      <c r="H22" s="546">
        <f t="shared" si="2"/>
        <v>27596.100000000002</v>
      </c>
      <c r="I22" s="547">
        <v>5519.2200000000012</v>
      </c>
      <c r="J22" s="547">
        <f t="shared" si="3"/>
        <v>33115.320000000007</v>
      </c>
      <c r="K22" s="547">
        <f t="shared" si="4"/>
        <v>3314.1141600000014</v>
      </c>
      <c r="L22" s="547">
        <f t="shared" si="5"/>
        <v>165.57660000000004</v>
      </c>
      <c r="M22" s="547">
        <f t="shared" si="6"/>
        <v>6848.2481760000019</v>
      </c>
      <c r="N22" s="547">
        <f t="shared" si="7"/>
        <v>43443.258936000013</v>
      </c>
      <c r="O22" s="503"/>
      <c r="P22" s="502" t="s">
        <v>826</v>
      </c>
      <c r="Q22" s="149" t="s">
        <v>830</v>
      </c>
      <c r="R22" s="517">
        <f>G51</f>
        <v>66309.248879999999</v>
      </c>
      <c r="S22" s="719">
        <v>1560</v>
      </c>
      <c r="T22" s="522">
        <f t="shared" si="8"/>
        <v>42.51</v>
      </c>
      <c r="U22" s="518">
        <v>0.3</v>
      </c>
      <c r="V22" s="518">
        <v>0.6</v>
      </c>
    </row>
    <row r="23" spans="1:22" x14ac:dyDescent="0.25">
      <c r="A23" s="541">
        <v>4</v>
      </c>
      <c r="B23" s="525" t="s">
        <v>831</v>
      </c>
      <c r="C23" s="767">
        <v>27596.100000000002</v>
      </c>
      <c r="D23" s="502">
        <f t="shared" si="9"/>
        <v>2552.4618000000005</v>
      </c>
      <c r="E23" s="526">
        <f t="shared" si="0"/>
        <v>137.98050000000001</v>
      </c>
      <c r="F23" s="502">
        <f t="shared" si="1"/>
        <v>5706.8734800000011</v>
      </c>
      <c r="G23" s="527">
        <f t="shared" si="10"/>
        <v>35993.415780000003</v>
      </c>
      <c r="H23" s="546">
        <f t="shared" si="2"/>
        <v>27596.100000000002</v>
      </c>
      <c r="I23" s="547">
        <v>5519.2200000000012</v>
      </c>
      <c r="J23" s="547">
        <f t="shared" si="3"/>
        <v>33115.320000000007</v>
      </c>
      <c r="K23" s="547">
        <f t="shared" si="4"/>
        <v>3314.1141600000014</v>
      </c>
      <c r="L23" s="547">
        <f t="shared" si="5"/>
        <v>165.57660000000004</v>
      </c>
      <c r="M23" s="547">
        <f t="shared" si="6"/>
        <v>6848.2481760000019</v>
      </c>
      <c r="N23" s="547">
        <f t="shared" si="7"/>
        <v>43443.258936000013</v>
      </c>
      <c r="O23" s="503"/>
      <c r="P23" s="502" t="s">
        <v>832</v>
      </c>
      <c r="Q23" s="149" t="s">
        <v>833</v>
      </c>
      <c r="R23" s="517">
        <f>G52</f>
        <v>67519.61454000001</v>
      </c>
      <c r="S23" s="719">
        <v>1560</v>
      </c>
      <c r="T23" s="522">
        <f t="shared" si="8"/>
        <v>43.28</v>
      </c>
      <c r="U23" s="518">
        <v>0.3</v>
      </c>
      <c r="V23" s="518">
        <v>0.6</v>
      </c>
    </row>
    <row r="24" spans="1:22" x14ac:dyDescent="0.25">
      <c r="A24" s="541">
        <v>4</v>
      </c>
      <c r="B24" s="525" t="s">
        <v>834</v>
      </c>
      <c r="C24" s="767">
        <v>27596.100000000002</v>
      </c>
      <c r="D24" s="502">
        <f t="shared" si="9"/>
        <v>2552.4618000000005</v>
      </c>
      <c r="E24" s="526">
        <f t="shared" si="0"/>
        <v>137.98050000000001</v>
      </c>
      <c r="F24" s="502">
        <f t="shared" si="1"/>
        <v>5706.8734800000011</v>
      </c>
      <c r="G24" s="527">
        <f t="shared" si="10"/>
        <v>35993.415780000003</v>
      </c>
      <c r="H24" s="546">
        <f t="shared" si="2"/>
        <v>27596.100000000002</v>
      </c>
      <c r="I24" s="547">
        <v>5519.2200000000012</v>
      </c>
      <c r="J24" s="547">
        <f t="shared" si="3"/>
        <v>33115.320000000007</v>
      </c>
      <c r="K24" s="547">
        <f t="shared" si="4"/>
        <v>3314.1141600000014</v>
      </c>
      <c r="L24" s="547">
        <f t="shared" si="5"/>
        <v>165.57660000000004</v>
      </c>
      <c r="M24" s="547">
        <f t="shared" si="6"/>
        <v>6848.2481760000019</v>
      </c>
      <c r="N24" s="547">
        <f t="shared" si="7"/>
        <v>43443.258936000013</v>
      </c>
      <c r="O24" s="503"/>
      <c r="P24" s="502" t="s">
        <v>832</v>
      </c>
      <c r="Q24" s="149" t="s">
        <v>97</v>
      </c>
      <c r="R24" s="517">
        <f>G54</f>
        <v>67519.61454000001</v>
      </c>
      <c r="S24" s="719">
        <v>1560</v>
      </c>
      <c r="T24" s="522">
        <f t="shared" si="8"/>
        <v>43.28</v>
      </c>
      <c r="U24" s="518">
        <v>0.3</v>
      </c>
      <c r="V24" s="518">
        <v>0.6</v>
      </c>
    </row>
    <row r="25" spans="1:22" x14ac:dyDescent="0.25">
      <c r="A25" s="541">
        <v>4</v>
      </c>
      <c r="B25" s="525" t="s">
        <v>835</v>
      </c>
      <c r="C25" s="767">
        <v>27596.100000000002</v>
      </c>
      <c r="D25" s="502">
        <f t="shared" si="9"/>
        <v>2552.4618000000005</v>
      </c>
      <c r="E25" s="526">
        <f t="shared" si="0"/>
        <v>137.98050000000001</v>
      </c>
      <c r="F25" s="502">
        <f t="shared" si="1"/>
        <v>5706.8734800000011</v>
      </c>
      <c r="G25" s="527">
        <f t="shared" si="10"/>
        <v>35993.415780000003</v>
      </c>
      <c r="H25" s="546">
        <f t="shared" si="2"/>
        <v>27596.100000000002</v>
      </c>
      <c r="I25" s="547">
        <v>5519.2200000000012</v>
      </c>
      <c r="J25" s="547">
        <f t="shared" si="3"/>
        <v>33115.320000000007</v>
      </c>
      <c r="K25" s="547">
        <f t="shared" si="4"/>
        <v>3314.1141600000014</v>
      </c>
      <c r="L25" s="547">
        <f t="shared" si="5"/>
        <v>165.57660000000004</v>
      </c>
      <c r="M25" s="547">
        <f t="shared" si="6"/>
        <v>6848.2481760000019</v>
      </c>
      <c r="N25" s="547">
        <f t="shared" si="7"/>
        <v>43443.258936000013</v>
      </c>
      <c r="O25" s="503"/>
      <c r="P25" s="502" t="s">
        <v>832</v>
      </c>
      <c r="Q25" s="149" t="s">
        <v>836</v>
      </c>
      <c r="R25" s="517">
        <f>G57</f>
        <v>76155.162510000009</v>
      </c>
      <c r="S25" s="719">
        <v>1560</v>
      </c>
      <c r="T25" s="522">
        <f t="shared" si="8"/>
        <v>48.82</v>
      </c>
      <c r="U25" s="518">
        <v>0.3</v>
      </c>
      <c r="V25" s="518">
        <v>0.6</v>
      </c>
    </row>
    <row r="26" spans="1:22" x14ac:dyDescent="0.25">
      <c r="A26" s="541">
        <v>5</v>
      </c>
      <c r="B26" s="525" t="s">
        <v>837</v>
      </c>
      <c r="C26" s="767">
        <v>28407.75</v>
      </c>
      <c r="D26" s="502">
        <f t="shared" si="9"/>
        <v>2664.4695000000002</v>
      </c>
      <c r="E26" s="526">
        <f t="shared" si="0"/>
        <v>142.03874999999999</v>
      </c>
      <c r="F26" s="502">
        <f t="shared" si="1"/>
        <v>5874.7227000000003</v>
      </c>
      <c r="G26" s="527">
        <f t="shared" si="10"/>
        <v>37088.980949999997</v>
      </c>
      <c r="H26" s="546">
        <f t="shared" si="2"/>
        <v>28407.75</v>
      </c>
      <c r="I26" s="547">
        <v>5681.55</v>
      </c>
      <c r="J26" s="547">
        <f t="shared" si="3"/>
        <v>34089.300000000003</v>
      </c>
      <c r="K26" s="547">
        <f t="shared" si="4"/>
        <v>3448.5234000000005</v>
      </c>
      <c r="L26" s="547">
        <f t="shared" si="5"/>
        <v>170.44650000000001</v>
      </c>
      <c r="M26" s="547">
        <f t="shared" si="6"/>
        <v>7049.6672400000007</v>
      </c>
      <c r="N26" s="547">
        <f t="shared" si="7"/>
        <v>44757.937140000002</v>
      </c>
      <c r="O26" s="503"/>
      <c r="P26" s="502" t="s">
        <v>838</v>
      </c>
      <c r="Q26" s="149" t="s">
        <v>839</v>
      </c>
      <c r="R26" s="517">
        <f>G58</f>
        <v>78344.875560000015</v>
      </c>
      <c r="S26" s="719">
        <v>1560</v>
      </c>
      <c r="T26" s="522">
        <f t="shared" si="8"/>
        <v>50.22</v>
      </c>
      <c r="U26" s="518">
        <v>0.3</v>
      </c>
      <c r="V26" s="518">
        <v>0.6</v>
      </c>
    </row>
    <row r="27" spans="1:22" x14ac:dyDescent="0.25">
      <c r="A27" s="541">
        <v>5</v>
      </c>
      <c r="B27" s="525" t="s">
        <v>840</v>
      </c>
      <c r="C27" s="767">
        <v>28407.75</v>
      </c>
      <c r="D27" s="502">
        <f t="shared" si="9"/>
        <v>2664.4695000000002</v>
      </c>
      <c r="E27" s="526">
        <f t="shared" si="0"/>
        <v>142.03874999999999</v>
      </c>
      <c r="F27" s="502">
        <f t="shared" si="1"/>
        <v>5874.7227000000003</v>
      </c>
      <c r="G27" s="527">
        <f t="shared" si="10"/>
        <v>37088.980949999997</v>
      </c>
      <c r="H27" s="546">
        <f t="shared" si="2"/>
        <v>28407.75</v>
      </c>
      <c r="I27" s="547">
        <v>5681.55</v>
      </c>
      <c r="J27" s="547">
        <f t="shared" si="3"/>
        <v>34089.300000000003</v>
      </c>
      <c r="K27" s="547">
        <f t="shared" si="4"/>
        <v>3448.5234000000005</v>
      </c>
      <c r="L27" s="547">
        <f t="shared" si="5"/>
        <v>170.44650000000001</v>
      </c>
      <c r="M27" s="547">
        <f t="shared" si="6"/>
        <v>7049.6672400000007</v>
      </c>
      <c r="N27" s="547">
        <f t="shared" si="7"/>
        <v>44757.937140000002</v>
      </c>
      <c r="O27" s="503"/>
      <c r="P27" s="502" t="s">
        <v>838</v>
      </c>
      <c r="Q27" s="149" t="s">
        <v>841</v>
      </c>
      <c r="R27" s="517">
        <f>G60</f>
        <v>78344.875560000015</v>
      </c>
      <c r="S27" s="719">
        <v>1560</v>
      </c>
      <c r="T27" s="522">
        <f t="shared" si="8"/>
        <v>50.22</v>
      </c>
      <c r="U27" s="518">
        <v>0.3</v>
      </c>
      <c r="V27" s="518">
        <v>0.6</v>
      </c>
    </row>
    <row r="28" spans="1:22" x14ac:dyDescent="0.25">
      <c r="A28" s="541">
        <v>5</v>
      </c>
      <c r="B28" s="525" t="s">
        <v>842</v>
      </c>
      <c r="C28" s="767">
        <v>30639</v>
      </c>
      <c r="D28" s="502">
        <f t="shared" si="9"/>
        <v>2972.3820000000001</v>
      </c>
      <c r="E28" s="526">
        <f t="shared" si="0"/>
        <v>153.19499999999999</v>
      </c>
      <c r="F28" s="502">
        <f t="shared" si="1"/>
        <v>6336.1451999999999</v>
      </c>
      <c r="G28" s="527">
        <f t="shared" si="10"/>
        <v>40100.722199999997</v>
      </c>
      <c r="H28" s="546">
        <f t="shared" si="2"/>
        <v>30639</v>
      </c>
      <c r="I28" s="547">
        <v>6127.8</v>
      </c>
      <c r="J28" s="547">
        <f t="shared" si="3"/>
        <v>36766.800000000003</v>
      </c>
      <c r="K28" s="547">
        <f t="shared" si="4"/>
        <v>3818.0184000000008</v>
      </c>
      <c r="L28" s="547">
        <f t="shared" si="5"/>
        <v>183.83400000000003</v>
      </c>
      <c r="M28" s="547">
        <f t="shared" si="6"/>
        <v>7603.374240000001</v>
      </c>
      <c r="N28" s="547">
        <f t="shared" si="7"/>
        <v>48372.026640000011</v>
      </c>
      <c r="O28" s="503"/>
      <c r="P28" s="502" t="s">
        <v>838</v>
      </c>
      <c r="Q28" s="149" t="s">
        <v>843</v>
      </c>
      <c r="R28" s="517">
        <f>G63</f>
        <v>91239.379980000012</v>
      </c>
      <c r="S28" s="719">
        <v>1560</v>
      </c>
      <c r="T28" s="522">
        <f t="shared" si="8"/>
        <v>58.49</v>
      </c>
      <c r="U28" s="518">
        <v>0.3</v>
      </c>
      <c r="V28" s="518">
        <v>0.6</v>
      </c>
    </row>
    <row r="29" spans="1:22" x14ac:dyDescent="0.25">
      <c r="A29" s="541">
        <v>5</v>
      </c>
      <c r="B29" s="525" t="s">
        <v>844</v>
      </c>
      <c r="C29" s="767">
        <v>30639</v>
      </c>
      <c r="D29" s="502">
        <f t="shared" si="9"/>
        <v>2972.3820000000001</v>
      </c>
      <c r="E29" s="526">
        <f t="shared" si="0"/>
        <v>153.19499999999999</v>
      </c>
      <c r="F29" s="502">
        <f t="shared" si="1"/>
        <v>6336.1451999999999</v>
      </c>
      <c r="G29" s="527">
        <f t="shared" si="10"/>
        <v>40100.722199999997</v>
      </c>
      <c r="H29" s="546">
        <f t="shared" si="2"/>
        <v>30639</v>
      </c>
      <c r="I29" s="547">
        <v>6127.8</v>
      </c>
      <c r="J29" s="547">
        <f t="shared" si="3"/>
        <v>36766.800000000003</v>
      </c>
      <c r="K29" s="547">
        <f t="shared" si="4"/>
        <v>3818.0184000000008</v>
      </c>
      <c r="L29" s="547">
        <f t="shared" si="5"/>
        <v>183.83400000000003</v>
      </c>
      <c r="M29" s="547">
        <f t="shared" si="6"/>
        <v>7603.374240000001</v>
      </c>
      <c r="N29" s="547">
        <f t="shared" si="7"/>
        <v>48372.026640000011</v>
      </c>
      <c r="O29" s="503"/>
      <c r="P29" s="502" t="s">
        <v>845</v>
      </c>
      <c r="Q29" s="149" t="s">
        <v>846</v>
      </c>
      <c r="R29" s="517">
        <f>G64</f>
        <v>93793.336559999996</v>
      </c>
      <c r="S29" s="719">
        <v>1560</v>
      </c>
      <c r="T29" s="522">
        <f t="shared" si="8"/>
        <v>60.12</v>
      </c>
      <c r="U29" s="518">
        <v>0.3</v>
      </c>
      <c r="V29" s="518">
        <v>0.6</v>
      </c>
    </row>
    <row r="30" spans="1:22" x14ac:dyDescent="0.25">
      <c r="A30" s="541">
        <v>5</v>
      </c>
      <c r="B30" s="525" t="s">
        <v>847</v>
      </c>
      <c r="C30" s="767">
        <v>34580.700000000004</v>
      </c>
      <c r="D30" s="502">
        <f t="shared" si="9"/>
        <v>3516.336600000001</v>
      </c>
      <c r="E30" s="526">
        <f t="shared" si="0"/>
        <v>172.90350000000004</v>
      </c>
      <c r="F30" s="502">
        <f t="shared" si="1"/>
        <v>7151.2887600000013</v>
      </c>
      <c r="G30" s="527">
        <f t="shared" si="10"/>
        <v>45421.22886000001</v>
      </c>
      <c r="H30" s="546">
        <f t="shared" si="2"/>
        <v>34580.700000000004</v>
      </c>
      <c r="I30" s="547">
        <v>6916.14</v>
      </c>
      <c r="J30" s="547">
        <f t="shared" si="3"/>
        <v>41496.840000000004</v>
      </c>
      <c r="K30" s="547">
        <f t="shared" si="4"/>
        <v>4470.7639200000012</v>
      </c>
      <c r="L30" s="547">
        <f t="shared" si="5"/>
        <v>207.48420000000002</v>
      </c>
      <c r="M30" s="547">
        <f t="shared" si="6"/>
        <v>8581.5465120000008</v>
      </c>
      <c r="N30" s="547">
        <f t="shared" si="7"/>
        <v>54756.634632000008</v>
      </c>
      <c r="O30" s="503"/>
      <c r="P30" s="502" t="s">
        <v>845</v>
      </c>
      <c r="Q30" s="149" t="s">
        <v>848</v>
      </c>
      <c r="R30" s="517">
        <f>G66</f>
        <v>93793.336559999996</v>
      </c>
      <c r="S30" s="719">
        <v>1560</v>
      </c>
      <c r="T30" s="522">
        <f t="shared" si="8"/>
        <v>60.12</v>
      </c>
      <c r="U30" s="518">
        <v>0.3</v>
      </c>
      <c r="V30" s="518">
        <v>0.6</v>
      </c>
    </row>
    <row r="31" spans="1:22" x14ac:dyDescent="0.25">
      <c r="A31" s="541">
        <v>5</v>
      </c>
      <c r="B31" s="525" t="s">
        <v>849</v>
      </c>
      <c r="C31" s="767">
        <v>34580.700000000004</v>
      </c>
      <c r="D31" s="502">
        <f t="shared" si="9"/>
        <v>3516.336600000001</v>
      </c>
      <c r="E31" s="526">
        <f t="shared" si="0"/>
        <v>172.90350000000004</v>
      </c>
      <c r="F31" s="502">
        <f t="shared" si="1"/>
        <v>7151.2887600000013</v>
      </c>
      <c r="G31" s="527">
        <f t="shared" si="10"/>
        <v>45421.22886000001</v>
      </c>
      <c r="H31" s="546">
        <f t="shared" si="2"/>
        <v>34580.700000000004</v>
      </c>
      <c r="I31" s="547">
        <v>6916.14</v>
      </c>
      <c r="J31" s="547">
        <f t="shared" si="3"/>
        <v>41496.840000000004</v>
      </c>
      <c r="K31" s="547">
        <f t="shared" si="4"/>
        <v>4470.7639200000012</v>
      </c>
      <c r="L31" s="547">
        <f t="shared" si="5"/>
        <v>207.48420000000002</v>
      </c>
      <c r="M31" s="547">
        <f t="shared" si="6"/>
        <v>8581.5465120000008</v>
      </c>
      <c r="N31" s="547">
        <f t="shared" si="7"/>
        <v>54756.634632000008</v>
      </c>
      <c r="O31" s="503"/>
      <c r="P31" s="502" t="s">
        <v>845</v>
      </c>
      <c r="Q31" s="149" t="s">
        <v>850</v>
      </c>
      <c r="R31" s="517">
        <f>G69</f>
        <v>108263.86746000001</v>
      </c>
      <c r="S31" s="719">
        <v>1560</v>
      </c>
      <c r="T31" s="522">
        <f t="shared" si="8"/>
        <v>69.400000000000006</v>
      </c>
      <c r="U31" s="518">
        <v>0.3</v>
      </c>
      <c r="V31" s="518">
        <v>0.6</v>
      </c>
    </row>
    <row r="32" spans="1:22" x14ac:dyDescent="0.25">
      <c r="A32" s="541">
        <v>5</v>
      </c>
      <c r="B32" s="525" t="s">
        <v>851</v>
      </c>
      <c r="C32" s="767">
        <v>34580.700000000004</v>
      </c>
      <c r="D32" s="502">
        <f t="shared" si="9"/>
        <v>3516.336600000001</v>
      </c>
      <c r="E32" s="526">
        <f t="shared" si="0"/>
        <v>172.90350000000004</v>
      </c>
      <c r="F32" s="502">
        <f t="shared" si="1"/>
        <v>7151.2887600000013</v>
      </c>
      <c r="G32" s="527">
        <f t="shared" si="10"/>
        <v>45421.22886000001</v>
      </c>
      <c r="H32" s="546">
        <f t="shared" si="2"/>
        <v>34580.700000000004</v>
      </c>
      <c r="I32" s="547">
        <v>6916.14</v>
      </c>
      <c r="J32" s="547">
        <f t="shared" si="3"/>
        <v>41496.840000000004</v>
      </c>
      <c r="K32" s="547">
        <f t="shared" si="4"/>
        <v>4470.7639200000012</v>
      </c>
      <c r="L32" s="547">
        <f t="shared" si="5"/>
        <v>207.48420000000002</v>
      </c>
      <c r="M32" s="547">
        <f t="shared" si="6"/>
        <v>8581.5465120000008</v>
      </c>
      <c r="N32" s="547">
        <f t="shared" si="7"/>
        <v>54756.634632000008</v>
      </c>
      <c r="O32" s="503"/>
      <c r="P32" s="502" t="s">
        <v>852</v>
      </c>
      <c r="Q32" s="149" t="s">
        <v>853</v>
      </c>
      <c r="R32" s="517">
        <f>G70</f>
        <v>111549.14568</v>
      </c>
      <c r="S32" s="719">
        <v>1560</v>
      </c>
      <c r="T32" s="522">
        <f t="shared" si="8"/>
        <v>71.510000000000005</v>
      </c>
      <c r="U32" s="518">
        <v>0.3</v>
      </c>
      <c r="V32" s="518">
        <v>0.6</v>
      </c>
    </row>
    <row r="33" spans="1:23" x14ac:dyDescent="0.25">
      <c r="A33" s="541">
        <v>5</v>
      </c>
      <c r="B33" s="525" t="s">
        <v>854</v>
      </c>
      <c r="C33" s="767">
        <v>34580.700000000004</v>
      </c>
      <c r="D33" s="502">
        <f t="shared" si="9"/>
        <v>3516.336600000001</v>
      </c>
      <c r="E33" s="526">
        <f t="shared" si="0"/>
        <v>172.90350000000004</v>
      </c>
      <c r="F33" s="502">
        <f t="shared" si="1"/>
        <v>7151.2887600000013</v>
      </c>
      <c r="G33" s="527">
        <f t="shared" si="10"/>
        <v>45421.22886000001</v>
      </c>
      <c r="H33" s="546">
        <f t="shared" si="2"/>
        <v>34580.700000000004</v>
      </c>
      <c r="I33" s="547">
        <v>6916.14</v>
      </c>
      <c r="J33" s="547">
        <f t="shared" si="3"/>
        <v>41496.840000000004</v>
      </c>
      <c r="K33" s="547">
        <f t="shared" si="4"/>
        <v>4470.7639200000012</v>
      </c>
      <c r="L33" s="547">
        <f t="shared" si="5"/>
        <v>207.48420000000002</v>
      </c>
      <c r="M33" s="547">
        <f t="shared" si="6"/>
        <v>8581.5465120000008</v>
      </c>
      <c r="N33" s="547">
        <f t="shared" si="7"/>
        <v>54756.634632000008</v>
      </c>
      <c r="O33" s="503"/>
      <c r="P33" s="502" t="s">
        <v>852</v>
      </c>
      <c r="Q33" s="149" t="s">
        <v>855</v>
      </c>
      <c r="R33" s="517">
        <f>G72</f>
        <v>111549.14568</v>
      </c>
      <c r="S33" s="719">
        <v>1560</v>
      </c>
      <c r="T33" s="522">
        <f t="shared" si="8"/>
        <v>71.510000000000005</v>
      </c>
      <c r="U33" s="518">
        <v>0.3</v>
      </c>
      <c r="V33" s="518">
        <v>0.6</v>
      </c>
    </row>
    <row r="34" spans="1:23" x14ac:dyDescent="0.25">
      <c r="A34" s="541">
        <v>6</v>
      </c>
      <c r="B34" s="525" t="s">
        <v>856</v>
      </c>
      <c r="C34" s="767">
        <v>35391.300000000003</v>
      </c>
      <c r="D34" s="502">
        <f t="shared" si="9"/>
        <v>3628.1994000000009</v>
      </c>
      <c r="E34" s="526">
        <f t="shared" si="0"/>
        <v>176.95650000000001</v>
      </c>
      <c r="F34" s="502">
        <f t="shared" si="1"/>
        <v>7318.9208400000007</v>
      </c>
      <c r="G34" s="527">
        <f t="shared" si="10"/>
        <v>46515.37674</v>
      </c>
      <c r="H34" s="546">
        <f t="shared" si="2"/>
        <v>35391.300000000003</v>
      </c>
      <c r="I34" s="547">
        <v>7078.2600000000011</v>
      </c>
      <c r="J34" s="547">
        <f t="shared" si="3"/>
        <v>42469.560000000005</v>
      </c>
      <c r="K34" s="547">
        <f t="shared" si="4"/>
        <v>4604.9992800000009</v>
      </c>
      <c r="L34" s="547">
        <f t="shared" si="5"/>
        <v>212.34780000000003</v>
      </c>
      <c r="M34" s="547">
        <f t="shared" si="6"/>
        <v>8782.7050080000008</v>
      </c>
      <c r="N34" s="547">
        <f t="shared" si="7"/>
        <v>56069.612088000009</v>
      </c>
      <c r="O34" s="503"/>
      <c r="P34" s="502" t="s">
        <v>852</v>
      </c>
      <c r="Q34" s="149" t="s">
        <v>857</v>
      </c>
      <c r="R34" s="517">
        <f>G75</f>
        <v>128832.99723000001</v>
      </c>
      <c r="S34" s="719">
        <v>1560</v>
      </c>
      <c r="T34" s="522">
        <f t="shared" si="8"/>
        <v>82.59</v>
      </c>
      <c r="U34" s="518">
        <v>0.3</v>
      </c>
      <c r="V34" s="518">
        <v>0.6</v>
      </c>
    </row>
    <row r="35" spans="1:23" x14ac:dyDescent="0.25">
      <c r="A35" s="541">
        <v>6</v>
      </c>
      <c r="B35" s="525" t="s">
        <v>858</v>
      </c>
      <c r="C35" s="767">
        <v>35391.300000000003</v>
      </c>
      <c r="D35" s="502">
        <f t="shared" si="9"/>
        <v>3628.1994000000009</v>
      </c>
      <c r="E35" s="526">
        <f t="shared" si="0"/>
        <v>176.95650000000001</v>
      </c>
      <c r="F35" s="502">
        <f t="shared" si="1"/>
        <v>7318.9208400000007</v>
      </c>
      <c r="G35" s="527">
        <f t="shared" si="10"/>
        <v>46515.37674</v>
      </c>
      <c r="H35" s="546">
        <f t="shared" si="2"/>
        <v>35391.300000000003</v>
      </c>
      <c r="I35" s="547">
        <v>7078.2600000000011</v>
      </c>
      <c r="J35" s="547">
        <f t="shared" si="3"/>
        <v>42469.560000000005</v>
      </c>
      <c r="K35" s="547">
        <f t="shared" si="4"/>
        <v>4604.9992800000009</v>
      </c>
      <c r="L35" s="547">
        <f t="shared" si="5"/>
        <v>212.34780000000003</v>
      </c>
      <c r="M35" s="547">
        <f t="shared" si="6"/>
        <v>8782.7050080000008</v>
      </c>
      <c r="N35" s="547">
        <f t="shared" si="7"/>
        <v>56069.612088000009</v>
      </c>
      <c r="O35" s="503"/>
      <c r="P35" s="502" t="s">
        <v>859</v>
      </c>
      <c r="Q35" s="149" t="s">
        <v>860</v>
      </c>
      <c r="R35" s="517">
        <f>G76</f>
        <v>133578.08415000001</v>
      </c>
      <c r="S35" s="719">
        <v>1560</v>
      </c>
      <c r="T35" s="522">
        <f t="shared" si="8"/>
        <v>85.63</v>
      </c>
      <c r="U35" s="518">
        <v>0.3</v>
      </c>
      <c r="V35" s="518">
        <v>0.6</v>
      </c>
    </row>
    <row r="36" spans="1:23" x14ac:dyDescent="0.25">
      <c r="A36" s="541">
        <v>6</v>
      </c>
      <c r="B36" s="525" t="s">
        <v>861</v>
      </c>
      <c r="C36" s="767">
        <v>37350.6</v>
      </c>
      <c r="D36" s="502">
        <f t="shared" si="9"/>
        <v>3898.5828000000001</v>
      </c>
      <c r="E36" s="526">
        <f t="shared" si="0"/>
        <v>186.75299999999999</v>
      </c>
      <c r="F36" s="502">
        <f t="shared" si="1"/>
        <v>7724.1040800000001</v>
      </c>
      <c r="G36" s="527">
        <f t="shared" si="10"/>
        <v>49160.039879999989</v>
      </c>
      <c r="H36" s="546">
        <f t="shared" si="2"/>
        <v>37350.6</v>
      </c>
      <c r="I36" s="547">
        <v>7470.1200000000008</v>
      </c>
      <c r="J36" s="547">
        <f t="shared" si="3"/>
        <v>44820.72</v>
      </c>
      <c r="K36" s="547">
        <f t="shared" si="4"/>
        <v>4929.4593600000007</v>
      </c>
      <c r="L36" s="547">
        <f t="shared" si="5"/>
        <v>224.1036</v>
      </c>
      <c r="M36" s="547">
        <f t="shared" si="6"/>
        <v>9268.9248960000004</v>
      </c>
      <c r="N36" s="547">
        <f t="shared" si="7"/>
        <v>59243.207856000008</v>
      </c>
      <c r="O36" s="503"/>
      <c r="P36" s="502" t="s">
        <v>859</v>
      </c>
      <c r="Q36" s="149" t="s">
        <v>862</v>
      </c>
      <c r="R36" s="517">
        <f>G78</f>
        <v>133578.08415000001</v>
      </c>
      <c r="S36" s="719">
        <v>1560</v>
      </c>
      <c r="T36" s="522">
        <f t="shared" si="8"/>
        <v>85.63</v>
      </c>
      <c r="U36" s="518">
        <v>0.3</v>
      </c>
      <c r="V36" s="518">
        <v>0.6</v>
      </c>
    </row>
    <row r="37" spans="1:23" x14ac:dyDescent="0.25">
      <c r="A37" s="541">
        <v>6</v>
      </c>
      <c r="B37" s="525" t="s">
        <v>863</v>
      </c>
      <c r="C37" s="767">
        <v>37350.6</v>
      </c>
      <c r="D37" s="502">
        <f t="shared" ref="D37:D68" si="11">(C37-$B$110)*0.138</f>
        <v>3898.5828000000001</v>
      </c>
      <c r="E37" s="526">
        <f t="shared" si="0"/>
        <v>186.75299999999999</v>
      </c>
      <c r="F37" s="502">
        <f t="shared" si="1"/>
        <v>7724.1040800000001</v>
      </c>
      <c r="G37" s="527">
        <f t="shared" si="10"/>
        <v>49160.039879999989</v>
      </c>
      <c r="H37" s="546">
        <f t="shared" si="2"/>
        <v>37350.6</v>
      </c>
      <c r="I37" s="547">
        <v>7470.1200000000008</v>
      </c>
      <c r="J37" s="547">
        <f t="shared" si="3"/>
        <v>44820.72</v>
      </c>
      <c r="K37" s="547">
        <f t="shared" ref="K37:K68" si="12">(J37-$B$110)*0.138</f>
        <v>4929.4593600000007</v>
      </c>
      <c r="L37" s="547">
        <f t="shared" si="5"/>
        <v>224.1036</v>
      </c>
      <c r="M37" s="547">
        <f t="shared" si="6"/>
        <v>9268.9248960000004</v>
      </c>
      <c r="N37" s="547">
        <f t="shared" si="7"/>
        <v>59243.207856000008</v>
      </c>
      <c r="O37" s="503"/>
      <c r="P37" s="502" t="s">
        <v>859</v>
      </c>
      <c r="Q37" s="149" t="s">
        <v>864</v>
      </c>
      <c r="R37" s="517">
        <f>G81</f>
        <v>153902.02275</v>
      </c>
      <c r="S37" s="719">
        <v>1560</v>
      </c>
      <c r="T37" s="522">
        <f t="shared" si="8"/>
        <v>98.66</v>
      </c>
      <c r="U37" s="518">
        <v>0.3</v>
      </c>
      <c r="V37" s="518">
        <v>0.6</v>
      </c>
    </row>
    <row r="38" spans="1:23" x14ac:dyDescent="0.25">
      <c r="A38" s="541">
        <v>6</v>
      </c>
      <c r="B38" s="525" t="s">
        <v>865</v>
      </c>
      <c r="C38" s="767">
        <v>37350.6</v>
      </c>
      <c r="D38" s="502">
        <f t="shared" si="11"/>
        <v>3898.5828000000001</v>
      </c>
      <c r="E38" s="526">
        <f t="shared" si="0"/>
        <v>186.75299999999999</v>
      </c>
      <c r="F38" s="502">
        <f t="shared" si="1"/>
        <v>7724.1040800000001</v>
      </c>
      <c r="G38" s="527">
        <f t="shared" si="10"/>
        <v>49160.039879999989</v>
      </c>
      <c r="H38" s="546">
        <f t="shared" si="2"/>
        <v>37350.6</v>
      </c>
      <c r="I38" s="547">
        <v>7470.1200000000008</v>
      </c>
      <c r="J38" s="547">
        <f t="shared" si="3"/>
        <v>44820.72</v>
      </c>
      <c r="K38" s="547">
        <f t="shared" si="12"/>
        <v>4929.4593600000007</v>
      </c>
      <c r="L38" s="547">
        <f t="shared" si="5"/>
        <v>224.1036</v>
      </c>
      <c r="M38" s="547">
        <f t="shared" si="6"/>
        <v>9268.9248960000004</v>
      </c>
      <c r="N38" s="547">
        <f t="shared" si="7"/>
        <v>59243.207856000008</v>
      </c>
      <c r="O38" s="503"/>
      <c r="P38" s="502" t="s">
        <v>866</v>
      </c>
      <c r="Q38" s="149" t="s">
        <v>867</v>
      </c>
      <c r="R38" s="517">
        <f>G82</f>
        <v>118017.92720000001</v>
      </c>
      <c r="S38" s="719">
        <v>1376</v>
      </c>
      <c r="T38" s="522">
        <f t="shared" si="8"/>
        <v>85.77</v>
      </c>
      <c r="U38" s="519">
        <v>0</v>
      </c>
      <c r="V38" s="519">
        <v>0</v>
      </c>
    </row>
    <row r="39" spans="1:23" x14ac:dyDescent="0.25">
      <c r="A39" s="541">
        <v>6</v>
      </c>
      <c r="B39" s="525" t="s">
        <v>868</v>
      </c>
      <c r="C39" s="767">
        <v>42617.4</v>
      </c>
      <c r="D39" s="502">
        <f t="shared" si="11"/>
        <v>4625.4012000000002</v>
      </c>
      <c r="E39" s="526">
        <f t="shared" si="0"/>
        <v>213.08700000000002</v>
      </c>
      <c r="F39" s="502">
        <f t="shared" si="1"/>
        <v>8813.2783200000013</v>
      </c>
      <c r="G39" s="527">
        <f t="shared" si="10"/>
        <v>56269.166519999999</v>
      </c>
      <c r="H39" s="546">
        <f t="shared" si="2"/>
        <v>42617.4</v>
      </c>
      <c r="I39" s="547">
        <v>7745.85</v>
      </c>
      <c r="J39" s="547">
        <f t="shared" si="3"/>
        <v>50363.25</v>
      </c>
      <c r="K39" s="547">
        <f t="shared" si="12"/>
        <v>5694.3285000000005</v>
      </c>
      <c r="L39" s="547">
        <f t="shared" si="5"/>
        <v>251.81625</v>
      </c>
      <c r="M39" s="547">
        <f t="shared" si="6"/>
        <v>10415.1201</v>
      </c>
      <c r="N39" s="547">
        <f t="shared" si="7"/>
        <v>66724.514850000007</v>
      </c>
      <c r="O39" s="503"/>
      <c r="P39" s="502" t="s">
        <v>866</v>
      </c>
      <c r="Q39" s="149" t="s">
        <v>98</v>
      </c>
      <c r="R39" s="517">
        <f>G91</f>
        <v>141817.60079999999</v>
      </c>
      <c r="S39" s="719">
        <v>1376</v>
      </c>
      <c r="T39" s="522">
        <f t="shared" si="8"/>
        <v>103.07</v>
      </c>
      <c r="U39" s="519">
        <v>0</v>
      </c>
      <c r="V39" s="519">
        <v>0</v>
      </c>
    </row>
    <row r="40" spans="1:23" x14ac:dyDescent="0.25">
      <c r="A40" s="541">
        <v>6</v>
      </c>
      <c r="B40" s="525" t="s">
        <v>869</v>
      </c>
      <c r="C40" s="767">
        <v>42617.4</v>
      </c>
      <c r="D40" s="502">
        <f t="shared" si="11"/>
        <v>4625.4012000000002</v>
      </c>
      <c r="E40" s="526">
        <f t="shared" si="0"/>
        <v>213.08700000000002</v>
      </c>
      <c r="F40" s="502">
        <f t="shared" si="1"/>
        <v>8813.2783200000013</v>
      </c>
      <c r="G40" s="527">
        <f t="shared" si="10"/>
        <v>56269.166519999999</v>
      </c>
      <c r="H40" s="546">
        <f t="shared" si="2"/>
        <v>42617.4</v>
      </c>
      <c r="I40" s="547">
        <v>7745.85</v>
      </c>
      <c r="J40" s="547">
        <f t="shared" si="3"/>
        <v>50363.25</v>
      </c>
      <c r="K40" s="547">
        <f t="shared" si="12"/>
        <v>5694.3285000000005</v>
      </c>
      <c r="L40" s="547">
        <f t="shared" si="5"/>
        <v>251.81625</v>
      </c>
      <c r="M40" s="547">
        <f t="shared" si="6"/>
        <v>10415.1201</v>
      </c>
      <c r="N40" s="547">
        <f t="shared" si="7"/>
        <v>66724.514850000007</v>
      </c>
      <c r="O40" s="503"/>
      <c r="P40" s="502" t="s">
        <v>866</v>
      </c>
      <c r="Q40" s="149" t="s">
        <v>870</v>
      </c>
      <c r="R40" s="517">
        <f>G100</f>
        <v>159549.92340000003</v>
      </c>
      <c r="S40" s="719">
        <v>1376</v>
      </c>
      <c r="T40" s="522">
        <f t="shared" si="8"/>
        <v>115.95</v>
      </c>
      <c r="U40" s="519">
        <v>0</v>
      </c>
      <c r="V40" s="519">
        <v>0</v>
      </c>
    </row>
    <row r="41" spans="1:23" x14ac:dyDescent="0.25">
      <c r="A41" s="541">
        <v>6</v>
      </c>
      <c r="B41" s="525" t="s">
        <v>871</v>
      </c>
      <c r="C41" s="767">
        <v>42617.4</v>
      </c>
      <c r="D41" s="502">
        <f t="shared" si="11"/>
        <v>4625.4012000000002</v>
      </c>
      <c r="E41" s="526">
        <f t="shared" si="0"/>
        <v>213.08700000000002</v>
      </c>
      <c r="F41" s="502">
        <f t="shared" si="1"/>
        <v>8813.2783200000013</v>
      </c>
      <c r="G41" s="527">
        <f t="shared" si="10"/>
        <v>56269.166519999999</v>
      </c>
      <c r="H41" s="546">
        <f t="shared" si="2"/>
        <v>42617.4</v>
      </c>
      <c r="I41" s="547">
        <v>7745.85</v>
      </c>
      <c r="J41" s="547">
        <f t="shared" si="3"/>
        <v>50363.25</v>
      </c>
      <c r="K41" s="547">
        <f t="shared" si="12"/>
        <v>5694.3285000000005</v>
      </c>
      <c r="L41" s="547">
        <f t="shared" si="5"/>
        <v>251.81625</v>
      </c>
      <c r="M41" s="547">
        <f t="shared" si="6"/>
        <v>10415.1201</v>
      </c>
      <c r="N41" s="547">
        <f t="shared" si="7"/>
        <v>66724.514850000007</v>
      </c>
      <c r="O41" s="503"/>
      <c r="P41" s="502" t="s">
        <v>872</v>
      </c>
      <c r="Q41" s="149" t="s">
        <v>873</v>
      </c>
      <c r="R41" s="517">
        <f>E105</f>
        <v>205803.51999999999</v>
      </c>
      <c r="S41" s="719">
        <v>1287</v>
      </c>
      <c r="T41" s="522">
        <f t="shared" si="8"/>
        <v>159.91</v>
      </c>
      <c r="U41" s="519">
        <v>0</v>
      </c>
      <c r="V41" s="519">
        <v>0</v>
      </c>
    </row>
    <row r="42" spans="1:23" x14ac:dyDescent="0.25">
      <c r="A42" s="541">
        <v>6</v>
      </c>
      <c r="B42" s="525" t="s">
        <v>874</v>
      </c>
      <c r="C42" s="767">
        <v>42617.4</v>
      </c>
      <c r="D42" s="502">
        <f t="shared" si="11"/>
        <v>4625.4012000000002</v>
      </c>
      <c r="E42" s="526">
        <f t="shared" si="0"/>
        <v>213.08700000000002</v>
      </c>
      <c r="F42" s="502">
        <f t="shared" si="1"/>
        <v>8813.2783200000013</v>
      </c>
      <c r="G42" s="527">
        <f t="shared" si="10"/>
        <v>56269.166519999999</v>
      </c>
      <c r="H42" s="546">
        <f t="shared" si="2"/>
        <v>42617.4</v>
      </c>
      <c r="I42" s="547">
        <v>7745.85</v>
      </c>
      <c r="J42" s="547">
        <f t="shared" si="3"/>
        <v>50363.25</v>
      </c>
      <c r="K42" s="547">
        <f t="shared" si="12"/>
        <v>5694.3285000000005</v>
      </c>
      <c r="L42" s="547">
        <f t="shared" si="5"/>
        <v>251.81625</v>
      </c>
      <c r="M42" s="547">
        <f t="shared" si="6"/>
        <v>10415.1201</v>
      </c>
      <c r="N42" s="547">
        <f t="shared" si="7"/>
        <v>66724.514850000007</v>
      </c>
      <c r="O42" s="503"/>
      <c r="P42" s="191"/>
      <c r="R42"/>
    </row>
    <row r="43" spans="1:23" x14ac:dyDescent="0.25">
      <c r="A43" s="541">
        <v>7</v>
      </c>
      <c r="B43" s="525" t="s">
        <v>875</v>
      </c>
      <c r="C43" s="767">
        <v>43741.950000000004</v>
      </c>
      <c r="D43" s="502">
        <f t="shared" si="11"/>
        <v>4780.5891000000011</v>
      </c>
      <c r="E43" s="526">
        <f t="shared" si="0"/>
        <v>218.70975000000001</v>
      </c>
      <c r="F43" s="502">
        <f t="shared" si="1"/>
        <v>9045.8352600000017</v>
      </c>
      <c r="G43" s="527">
        <f t="shared" si="10"/>
        <v>57787.084110000011</v>
      </c>
      <c r="H43" s="546">
        <f t="shared" si="2"/>
        <v>43741.950000000004</v>
      </c>
      <c r="I43" s="547">
        <v>7745.85</v>
      </c>
      <c r="J43" s="547">
        <f t="shared" si="3"/>
        <v>51487.8</v>
      </c>
      <c r="K43" s="547">
        <f t="shared" si="12"/>
        <v>5849.5164000000013</v>
      </c>
      <c r="L43" s="547">
        <f t="shared" si="5"/>
        <v>257.43900000000002</v>
      </c>
      <c r="M43" s="547">
        <f>J43*0.2068</f>
        <v>10647.67704</v>
      </c>
      <c r="N43" s="547">
        <f t="shared" si="7"/>
        <v>68242.432440000004</v>
      </c>
      <c r="O43" s="503"/>
      <c r="P43" s="191"/>
      <c r="R43"/>
    </row>
    <row r="44" spans="1:23" x14ac:dyDescent="0.25">
      <c r="A44" s="541">
        <v>7</v>
      </c>
      <c r="B44" s="525" t="s">
        <v>876</v>
      </c>
      <c r="C44" s="767">
        <v>43741.950000000004</v>
      </c>
      <c r="D44" s="502">
        <f t="shared" si="11"/>
        <v>4780.5891000000011</v>
      </c>
      <c r="E44" s="526">
        <f t="shared" si="0"/>
        <v>218.70975000000001</v>
      </c>
      <c r="F44" s="502">
        <f t="shared" si="1"/>
        <v>9045.8352600000017</v>
      </c>
      <c r="G44" s="527">
        <f t="shared" si="10"/>
        <v>57787.084110000011</v>
      </c>
      <c r="H44" s="546">
        <f t="shared" si="2"/>
        <v>43741.950000000004</v>
      </c>
      <c r="I44" s="547">
        <v>7745.85</v>
      </c>
      <c r="J44" s="547">
        <f t="shared" si="3"/>
        <v>51487.8</v>
      </c>
      <c r="K44" s="547">
        <f t="shared" si="12"/>
        <v>5849.5164000000013</v>
      </c>
      <c r="L44" s="547">
        <f t="shared" si="5"/>
        <v>257.43900000000002</v>
      </c>
      <c r="M44" s="547">
        <f t="shared" si="6"/>
        <v>10647.67704</v>
      </c>
      <c r="N44" s="547">
        <f t="shared" si="7"/>
        <v>68242.432440000004</v>
      </c>
      <c r="O44" s="503"/>
      <c r="P44" s="172"/>
      <c r="Q44" s="337"/>
      <c r="R44" s="596"/>
      <c r="S44" s="337"/>
      <c r="T44" s="337"/>
      <c r="U44" s="337"/>
      <c r="V44" s="157"/>
    </row>
    <row r="45" spans="1:23" x14ac:dyDescent="0.25">
      <c r="A45" s="541">
        <v>7</v>
      </c>
      <c r="B45" s="525" t="s">
        <v>877</v>
      </c>
      <c r="C45" s="767">
        <v>45996.3</v>
      </c>
      <c r="D45" s="502">
        <f t="shared" si="11"/>
        <v>5091.6894000000011</v>
      </c>
      <c r="E45" s="526">
        <f t="shared" si="0"/>
        <v>229.98150000000001</v>
      </c>
      <c r="F45" s="502">
        <f t="shared" si="1"/>
        <v>9512.0348400000003</v>
      </c>
      <c r="G45" s="527">
        <f t="shared" si="10"/>
        <v>60830.005740000008</v>
      </c>
      <c r="H45" s="546">
        <f t="shared" si="2"/>
        <v>45996.3</v>
      </c>
      <c r="I45" s="547">
        <v>7745.85</v>
      </c>
      <c r="J45" s="547">
        <f t="shared" si="3"/>
        <v>53742.15</v>
      </c>
      <c r="K45" s="547">
        <f t="shared" si="12"/>
        <v>6160.6167000000005</v>
      </c>
      <c r="L45" s="547">
        <f t="shared" si="5"/>
        <v>268.71075000000002</v>
      </c>
      <c r="M45" s="547">
        <f t="shared" si="6"/>
        <v>11113.876620000001</v>
      </c>
      <c r="N45" s="547">
        <f t="shared" si="7"/>
        <v>71285.354070000001</v>
      </c>
      <c r="O45" s="503"/>
      <c r="P45" s="160" t="s">
        <v>942</v>
      </c>
      <c r="W45" s="160"/>
    </row>
    <row r="46" spans="1:23" x14ac:dyDescent="0.25">
      <c r="A46" s="541">
        <v>7</v>
      </c>
      <c r="B46" s="525" t="s">
        <v>878</v>
      </c>
      <c r="C46" s="767">
        <v>45996.3</v>
      </c>
      <c r="D46" s="502">
        <f t="shared" si="11"/>
        <v>5091.6894000000011</v>
      </c>
      <c r="E46" s="526">
        <f t="shared" si="0"/>
        <v>229.98150000000001</v>
      </c>
      <c r="F46" s="502">
        <f t="shared" si="1"/>
        <v>9512.0348400000003</v>
      </c>
      <c r="G46" s="527">
        <f t="shared" si="10"/>
        <v>60830.005740000008</v>
      </c>
      <c r="H46" s="546">
        <f t="shared" si="2"/>
        <v>45996.3</v>
      </c>
      <c r="I46" s="547">
        <v>7745.85</v>
      </c>
      <c r="J46" s="547">
        <f t="shared" si="3"/>
        <v>53742.15</v>
      </c>
      <c r="K46" s="547">
        <f t="shared" si="12"/>
        <v>6160.6167000000005</v>
      </c>
      <c r="L46" s="547">
        <f t="shared" si="5"/>
        <v>268.71075000000002</v>
      </c>
      <c r="M46" s="547">
        <f t="shared" si="6"/>
        <v>11113.876620000001</v>
      </c>
      <c r="N46" s="547">
        <f t="shared" si="7"/>
        <v>71285.354070000001</v>
      </c>
      <c r="O46" s="503"/>
      <c r="P46" s="160"/>
      <c r="W46" s="160"/>
    </row>
    <row r="47" spans="1:23" x14ac:dyDescent="0.25">
      <c r="A47" s="541">
        <v>7</v>
      </c>
      <c r="B47" s="525" t="s">
        <v>879</v>
      </c>
      <c r="C47" s="767">
        <v>45996.3</v>
      </c>
      <c r="D47" s="502">
        <f t="shared" si="11"/>
        <v>5091.6894000000011</v>
      </c>
      <c r="E47" s="526">
        <f t="shared" si="0"/>
        <v>229.98150000000001</v>
      </c>
      <c r="F47" s="502">
        <f t="shared" si="1"/>
        <v>9512.0348400000003</v>
      </c>
      <c r="G47" s="527">
        <f t="shared" si="10"/>
        <v>60830.005740000008</v>
      </c>
      <c r="H47" s="546">
        <f t="shared" si="2"/>
        <v>45996.3</v>
      </c>
      <c r="I47" s="547">
        <v>7745.85</v>
      </c>
      <c r="J47" s="547">
        <f t="shared" si="3"/>
        <v>53742.15</v>
      </c>
      <c r="K47" s="547">
        <f t="shared" si="12"/>
        <v>6160.6167000000005</v>
      </c>
      <c r="L47" s="547">
        <f t="shared" si="5"/>
        <v>268.71075000000002</v>
      </c>
      <c r="M47" s="547">
        <f t="shared" si="6"/>
        <v>11113.876620000001</v>
      </c>
      <c r="N47" s="547">
        <f t="shared" si="7"/>
        <v>71285.354070000001</v>
      </c>
      <c r="O47" s="503"/>
      <c r="P47" s="597" t="s">
        <v>927</v>
      </c>
      <c r="V47" s="159"/>
    </row>
    <row r="48" spans="1:23" x14ac:dyDescent="0.25">
      <c r="A48" s="541">
        <v>7</v>
      </c>
      <c r="B48" s="525" t="s">
        <v>880</v>
      </c>
      <c r="C48" s="767">
        <v>50055.6</v>
      </c>
      <c r="D48" s="502">
        <f t="shared" si="11"/>
        <v>5651.8728000000001</v>
      </c>
      <c r="E48" s="526">
        <f t="shared" si="0"/>
        <v>250.27799999999999</v>
      </c>
      <c r="F48" s="502">
        <f t="shared" si="1"/>
        <v>10351.498079999999</v>
      </c>
      <c r="G48" s="527">
        <f t="shared" si="10"/>
        <v>66309.248879999999</v>
      </c>
      <c r="H48" s="546">
        <f t="shared" si="2"/>
        <v>50055.6</v>
      </c>
      <c r="I48" s="547">
        <v>7745.85</v>
      </c>
      <c r="J48" s="547">
        <f t="shared" si="3"/>
        <v>57801.45</v>
      </c>
      <c r="K48" s="547">
        <f t="shared" si="12"/>
        <v>6720.8001000000004</v>
      </c>
      <c r="L48" s="547">
        <f t="shared" si="5"/>
        <v>289.00725</v>
      </c>
      <c r="M48" s="547">
        <f t="shared" si="6"/>
        <v>11953.33986</v>
      </c>
      <c r="N48" s="547">
        <f t="shared" si="7"/>
        <v>76764.597210000007</v>
      </c>
      <c r="O48" s="503"/>
      <c r="P48" s="598" t="s">
        <v>928</v>
      </c>
      <c r="U48">
        <v>260</v>
      </c>
      <c r="V48" s="159"/>
    </row>
    <row r="49" spans="1:22" x14ac:dyDescent="0.25">
      <c r="A49" s="541">
        <v>7</v>
      </c>
      <c r="B49" s="525" t="s">
        <v>881</v>
      </c>
      <c r="C49" s="767">
        <v>50055.6</v>
      </c>
      <c r="D49" s="502">
        <f t="shared" si="11"/>
        <v>5651.8728000000001</v>
      </c>
      <c r="E49" s="526">
        <f t="shared" si="0"/>
        <v>250.27799999999999</v>
      </c>
      <c r="F49" s="502">
        <f t="shared" si="1"/>
        <v>10351.498079999999</v>
      </c>
      <c r="G49" s="527">
        <f t="shared" si="10"/>
        <v>66309.248879999999</v>
      </c>
      <c r="H49" s="546">
        <f t="shared" si="2"/>
        <v>50055.6</v>
      </c>
      <c r="I49" s="547">
        <v>7745.85</v>
      </c>
      <c r="J49" s="547">
        <f t="shared" si="3"/>
        <v>57801.45</v>
      </c>
      <c r="K49" s="547">
        <f t="shared" si="12"/>
        <v>6720.8001000000004</v>
      </c>
      <c r="L49" s="547">
        <f t="shared" si="5"/>
        <v>289.00725</v>
      </c>
      <c r="M49" s="547">
        <f t="shared" si="6"/>
        <v>11953.33986</v>
      </c>
      <c r="N49" s="547">
        <f t="shared" si="7"/>
        <v>76764.597210000007</v>
      </c>
      <c r="O49" s="503"/>
      <c r="P49" s="598" t="s">
        <v>929</v>
      </c>
      <c r="U49">
        <v>-40</v>
      </c>
      <c r="V49" s="159"/>
    </row>
    <row r="50" spans="1:22" x14ac:dyDescent="0.25">
      <c r="A50" s="541">
        <v>7</v>
      </c>
      <c r="B50" s="525" t="s">
        <v>882</v>
      </c>
      <c r="C50" s="767">
        <v>50055.6</v>
      </c>
      <c r="D50" s="502">
        <f t="shared" si="11"/>
        <v>5651.8728000000001</v>
      </c>
      <c r="E50" s="526">
        <f t="shared" si="0"/>
        <v>250.27799999999999</v>
      </c>
      <c r="F50" s="502">
        <f t="shared" si="1"/>
        <v>10351.498079999999</v>
      </c>
      <c r="G50" s="527">
        <f t="shared" si="10"/>
        <v>66309.248879999999</v>
      </c>
      <c r="H50" s="546">
        <f t="shared" si="2"/>
        <v>50055.6</v>
      </c>
      <c r="I50" s="547">
        <v>7745.85</v>
      </c>
      <c r="J50" s="547">
        <f t="shared" si="3"/>
        <v>57801.45</v>
      </c>
      <c r="K50" s="547">
        <f t="shared" si="12"/>
        <v>6720.8001000000004</v>
      </c>
      <c r="L50" s="547">
        <f t="shared" si="5"/>
        <v>289.00725</v>
      </c>
      <c r="M50" s="547">
        <f t="shared" si="6"/>
        <v>11953.33986</v>
      </c>
      <c r="N50" s="547">
        <f t="shared" si="7"/>
        <v>76764.597210000007</v>
      </c>
      <c r="O50" s="503"/>
      <c r="P50" s="598" t="s">
        <v>930</v>
      </c>
      <c r="U50">
        <v>-2</v>
      </c>
      <c r="V50" s="159"/>
    </row>
    <row r="51" spans="1:22" x14ac:dyDescent="0.25">
      <c r="A51" s="541">
        <v>7</v>
      </c>
      <c r="B51" s="525" t="s">
        <v>883</v>
      </c>
      <c r="C51" s="767">
        <v>50055.6</v>
      </c>
      <c r="D51" s="502">
        <f t="shared" si="11"/>
        <v>5651.8728000000001</v>
      </c>
      <c r="E51" s="526">
        <f t="shared" si="0"/>
        <v>250.27799999999999</v>
      </c>
      <c r="F51" s="502">
        <f t="shared" si="1"/>
        <v>10351.498079999999</v>
      </c>
      <c r="G51" s="527">
        <f t="shared" si="10"/>
        <v>66309.248879999999</v>
      </c>
      <c r="H51" s="546">
        <f t="shared" si="2"/>
        <v>50055.6</v>
      </c>
      <c r="I51" s="547">
        <v>7745.85</v>
      </c>
      <c r="J51" s="547">
        <f t="shared" si="3"/>
        <v>57801.45</v>
      </c>
      <c r="K51" s="547">
        <f t="shared" si="12"/>
        <v>6720.8001000000004</v>
      </c>
      <c r="L51" s="547">
        <f t="shared" si="5"/>
        <v>289.00725</v>
      </c>
      <c r="M51" s="547">
        <f t="shared" si="6"/>
        <v>11953.33986</v>
      </c>
      <c r="N51" s="547">
        <f t="shared" si="7"/>
        <v>76764.597210000007</v>
      </c>
      <c r="O51" s="503"/>
      <c r="P51" s="598" t="s">
        <v>931</v>
      </c>
      <c r="U51">
        <v>-10</v>
      </c>
      <c r="V51" s="159"/>
    </row>
    <row r="52" spans="1:22" x14ac:dyDescent="0.25">
      <c r="A52" s="541" t="s">
        <v>884</v>
      </c>
      <c r="B52" s="525" t="s">
        <v>885</v>
      </c>
      <c r="C52" s="767">
        <v>50952.3</v>
      </c>
      <c r="D52" s="502">
        <f t="shared" si="11"/>
        <v>5775.617400000001</v>
      </c>
      <c r="E52" s="526">
        <f t="shared" si="0"/>
        <v>254.76150000000001</v>
      </c>
      <c r="F52" s="502">
        <f t="shared" si="1"/>
        <v>10536.935640000002</v>
      </c>
      <c r="G52" s="527">
        <f t="shared" si="10"/>
        <v>67519.61454000001</v>
      </c>
      <c r="H52" s="546">
        <f t="shared" si="2"/>
        <v>50952.3</v>
      </c>
      <c r="I52" s="547">
        <v>7745.85</v>
      </c>
      <c r="J52" s="547">
        <f t="shared" si="3"/>
        <v>58698.15</v>
      </c>
      <c r="K52" s="547">
        <f t="shared" si="12"/>
        <v>6844.5447000000004</v>
      </c>
      <c r="L52" s="547">
        <f t="shared" si="5"/>
        <v>293.49074999999999</v>
      </c>
      <c r="M52" s="547">
        <f t="shared" si="6"/>
        <v>12138.77742</v>
      </c>
      <c r="N52" s="547">
        <f t="shared" si="7"/>
        <v>77974.962870000003</v>
      </c>
      <c r="O52" s="503"/>
      <c r="P52" s="598"/>
      <c r="U52" s="337">
        <v>208</v>
      </c>
      <c r="V52" s="159"/>
    </row>
    <row r="53" spans="1:22" x14ac:dyDescent="0.25">
      <c r="A53" s="541" t="s">
        <v>884</v>
      </c>
      <c r="B53" s="525" t="s">
        <v>886</v>
      </c>
      <c r="C53" s="767">
        <v>50952.3</v>
      </c>
      <c r="D53" s="502">
        <f t="shared" si="11"/>
        <v>5775.617400000001</v>
      </c>
      <c r="E53" s="526">
        <f t="shared" si="0"/>
        <v>254.76150000000001</v>
      </c>
      <c r="F53" s="502">
        <f t="shared" si="1"/>
        <v>10536.935640000002</v>
      </c>
      <c r="G53" s="527">
        <f t="shared" si="10"/>
        <v>67519.61454000001</v>
      </c>
      <c r="H53" s="546">
        <f t="shared" si="2"/>
        <v>50952.3</v>
      </c>
      <c r="I53" s="547">
        <v>7745.85</v>
      </c>
      <c r="J53" s="547">
        <f t="shared" si="3"/>
        <v>58698.15</v>
      </c>
      <c r="K53" s="547">
        <f t="shared" si="12"/>
        <v>6844.5447000000004</v>
      </c>
      <c r="L53" s="547">
        <f t="shared" si="5"/>
        <v>293.49074999999999</v>
      </c>
      <c r="M53" s="547">
        <f t="shared" si="6"/>
        <v>12138.77742</v>
      </c>
      <c r="N53" s="547">
        <f t="shared" si="7"/>
        <v>77974.962870000003</v>
      </c>
      <c r="O53" s="503"/>
      <c r="P53" s="598" t="s">
        <v>932</v>
      </c>
      <c r="U53" s="370">
        <f>7.5*U52</f>
        <v>1560</v>
      </c>
      <c r="V53" s="159"/>
    </row>
    <row r="54" spans="1:22" x14ac:dyDescent="0.25">
      <c r="A54" s="541" t="s">
        <v>884</v>
      </c>
      <c r="B54" s="525" t="s">
        <v>887</v>
      </c>
      <c r="C54" s="767">
        <v>50952.3</v>
      </c>
      <c r="D54" s="502">
        <f t="shared" si="11"/>
        <v>5775.617400000001</v>
      </c>
      <c r="E54" s="526">
        <f t="shared" si="0"/>
        <v>254.76150000000001</v>
      </c>
      <c r="F54" s="502">
        <f t="shared" si="1"/>
        <v>10536.935640000002</v>
      </c>
      <c r="G54" s="527">
        <f t="shared" si="10"/>
        <v>67519.61454000001</v>
      </c>
      <c r="H54" s="546">
        <f t="shared" si="2"/>
        <v>50952.3</v>
      </c>
      <c r="I54" s="547">
        <v>7745.85</v>
      </c>
      <c r="J54" s="547">
        <f t="shared" si="3"/>
        <v>58698.15</v>
      </c>
      <c r="K54" s="547">
        <f t="shared" si="12"/>
        <v>6844.5447000000004</v>
      </c>
      <c r="L54" s="547">
        <f t="shared" si="5"/>
        <v>293.49074999999999</v>
      </c>
      <c r="M54" s="547">
        <f t="shared" si="6"/>
        <v>12138.77742</v>
      </c>
      <c r="N54" s="547">
        <f t="shared" si="7"/>
        <v>77974.962870000003</v>
      </c>
      <c r="O54" s="503"/>
      <c r="P54" s="160"/>
      <c r="V54" s="159"/>
    </row>
    <row r="55" spans="1:22" x14ac:dyDescent="0.25">
      <c r="A55" s="541" t="s">
        <v>884</v>
      </c>
      <c r="B55" s="525" t="s">
        <v>888</v>
      </c>
      <c r="C55" s="767">
        <v>50952.3</v>
      </c>
      <c r="D55" s="502">
        <f t="shared" si="11"/>
        <v>5775.617400000001</v>
      </c>
      <c r="E55" s="526">
        <f t="shared" si="0"/>
        <v>254.76150000000001</v>
      </c>
      <c r="F55" s="502">
        <f t="shared" si="1"/>
        <v>10536.935640000002</v>
      </c>
      <c r="G55" s="527">
        <f t="shared" si="10"/>
        <v>67519.61454000001</v>
      </c>
      <c r="H55" s="546">
        <f t="shared" si="2"/>
        <v>50952.3</v>
      </c>
      <c r="I55" s="547">
        <v>7745.85</v>
      </c>
      <c r="J55" s="547">
        <f t="shared" si="3"/>
        <v>58698.15</v>
      </c>
      <c r="K55" s="547">
        <f t="shared" si="12"/>
        <v>6844.5447000000004</v>
      </c>
      <c r="L55" s="547">
        <f t="shared" si="5"/>
        <v>293.49074999999999</v>
      </c>
      <c r="M55" s="547">
        <f t="shared" si="6"/>
        <v>12138.77742</v>
      </c>
      <c r="N55" s="547">
        <f t="shared" si="7"/>
        <v>77974.962870000003</v>
      </c>
      <c r="O55" s="503"/>
      <c r="P55" s="598"/>
      <c r="V55" s="159"/>
    </row>
    <row r="56" spans="1:22" x14ac:dyDescent="0.25">
      <c r="A56" s="541" t="s">
        <v>884</v>
      </c>
      <c r="B56" s="525" t="s">
        <v>889</v>
      </c>
      <c r="C56" s="767">
        <v>50952.3</v>
      </c>
      <c r="D56" s="502">
        <f t="shared" si="11"/>
        <v>5775.617400000001</v>
      </c>
      <c r="E56" s="526">
        <f t="shared" si="0"/>
        <v>254.76150000000001</v>
      </c>
      <c r="F56" s="502">
        <f t="shared" si="1"/>
        <v>10536.935640000002</v>
      </c>
      <c r="G56" s="527">
        <f t="shared" si="10"/>
        <v>67519.61454000001</v>
      </c>
      <c r="H56" s="546">
        <f t="shared" si="2"/>
        <v>50952.3</v>
      </c>
      <c r="I56" s="547">
        <v>7745.85</v>
      </c>
      <c r="J56" s="547">
        <f t="shared" si="3"/>
        <v>58698.15</v>
      </c>
      <c r="K56" s="547">
        <f t="shared" si="12"/>
        <v>6844.5447000000004</v>
      </c>
      <c r="L56" s="547">
        <f t="shared" si="5"/>
        <v>293.49074999999999</v>
      </c>
      <c r="M56" s="547">
        <f t="shared" si="6"/>
        <v>12138.77742</v>
      </c>
      <c r="N56" s="547">
        <f t="shared" si="7"/>
        <v>77974.962870000003</v>
      </c>
      <c r="O56" s="503"/>
      <c r="P56" s="597" t="s">
        <v>866</v>
      </c>
      <c r="V56" s="159"/>
    </row>
    <row r="57" spans="1:22" x14ac:dyDescent="0.25">
      <c r="A57" s="541" t="s">
        <v>884</v>
      </c>
      <c r="B57" s="525" t="s">
        <v>890</v>
      </c>
      <c r="C57" s="767">
        <v>57349.950000000004</v>
      </c>
      <c r="D57" s="502">
        <f t="shared" si="11"/>
        <v>6658.4931000000015</v>
      </c>
      <c r="E57" s="526">
        <f t="shared" si="0"/>
        <v>286.74975000000001</v>
      </c>
      <c r="F57" s="502">
        <f t="shared" si="1"/>
        <v>11859.969660000002</v>
      </c>
      <c r="G57" s="527">
        <f t="shared" si="10"/>
        <v>76155.162510000009</v>
      </c>
      <c r="H57" s="546">
        <f t="shared" si="2"/>
        <v>57349.950000000004</v>
      </c>
      <c r="I57" s="547">
        <v>7745.85</v>
      </c>
      <c r="J57" s="547">
        <f t="shared" si="3"/>
        <v>65095.8</v>
      </c>
      <c r="K57" s="547">
        <f t="shared" si="12"/>
        <v>7727.4204000000009</v>
      </c>
      <c r="L57" s="547">
        <f t="shared" si="5"/>
        <v>325.47900000000004</v>
      </c>
      <c r="M57" s="547">
        <f t="shared" si="6"/>
        <v>13461.811440000001</v>
      </c>
      <c r="N57" s="547">
        <f t="shared" si="7"/>
        <v>86610.510840000017</v>
      </c>
      <c r="O57" s="503"/>
      <c r="P57" s="598" t="s">
        <v>936</v>
      </c>
      <c r="U57">
        <v>43</v>
      </c>
      <c r="V57" s="159"/>
    </row>
    <row r="58" spans="1:22" x14ac:dyDescent="0.25">
      <c r="A58" s="541" t="s">
        <v>891</v>
      </c>
      <c r="B58" s="525" t="s">
        <v>892</v>
      </c>
      <c r="C58" s="767">
        <v>58972.200000000004</v>
      </c>
      <c r="D58" s="502">
        <f t="shared" si="11"/>
        <v>6882.3636000000015</v>
      </c>
      <c r="E58" s="526">
        <f t="shared" si="0"/>
        <v>294.86100000000005</v>
      </c>
      <c r="F58" s="502">
        <f t="shared" si="1"/>
        <v>12195.450960000002</v>
      </c>
      <c r="G58" s="527">
        <f t="shared" si="10"/>
        <v>78344.875560000015</v>
      </c>
      <c r="H58" s="546">
        <f t="shared" si="2"/>
        <v>58972.200000000004</v>
      </c>
      <c r="I58" s="547">
        <v>7745.85</v>
      </c>
      <c r="J58" s="547">
        <f t="shared" si="3"/>
        <v>66718.05</v>
      </c>
      <c r="K58" s="547">
        <f t="shared" si="12"/>
        <v>7951.2909000000009</v>
      </c>
      <c r="L58" s="547">
        <f t="shared" si="5"/>
        <v>333.59025000000003</v>
      </c>
      <c r="M58" s="547">
        <f t="shared" si="6"/>
        <v>13797.292740000001</v>
      </c>
      <c r="N58" s="547">
        <f t="shared" si="7"/>
        <v>88800.223890000008</v>
      </c>
      <c r="O58" s="503"/>
      <c r="P58" s="598"/>
      <c r="V58" s="159"/>
    </row>
    <row r="59" spans="1:22" x14ac:dyDescent="0.25">
      <c r="A59" s="541" t="s">
        <v>891</v>
      </c>
      <c r="B59" s="525" t="s">
        <v>893</v>
      </c>
      <c r="C59" s="767">
        <v>58972.200000000004</v>
      </c>
      <c r="D59" s="502">
        <f t="shared" si="11"/>
        <v>6882.3636000000015</v>
      </c>
      <c r="E59" s="526">
        <f t="shared" si="0"/>
        <v>294.86100000000005</v>
      </c>
      <c r="F59" s="502">
        <f t="shared" si="1"/>
        <v>12195.450960000002</v>
      </c>
      <c r="G59" s="527">
        <f t="shared" si="10"/>
        <v>78344.875560000015</v>
      </c>
      <c r="H59" s="546">
        <f t="shared" si="2"/>
        <v>58972.200000000004</v>
      </c>
      <c r="I59" s="547">
        <v>7745.85</v>
      </c>
      <c r="J59" s="547">
        <f t="shared" si="3"/>
        <v>66718.05</v>
      </c>
      <c r="K59" s="547">
        <f t="shared" si="12"/>
        <v>7951.2909000000009</v>
      </c>
      <c r="L59" s="547">
        <f t="shared" si="5"/>
        <v>333.59025000000003</v>
      </c>
      <c r="M59" s="547">
        <f t="shared" si="6"/>
        <v>13797.292740000001</v>
      </c>
      <c r="N59" s="547">
        <f t="shared" si="7"/>
        <v>88800.223890000008</v>
      </c>
      <c r="O59" s="503"/>
      <c r="P59" s="598" t="s">
        <v>933</v>
      </c>
      <c r="U59">
        <v>10</v>
      </c>
      <c r="V59" s="159"/>
    </row>
    <row r="60" spans="1:22" x14ac:dyDescent="0.25">
      <c r="A60" s="541" t="s">
        <v>891</v>
      </c>
      <c r="B60" s="525" t="s">
        <v>894</v>
      </c>
      <c r="C60" s="767">
        <v>58972.200000000004</v>
      </c>
      <c r="D60" s="502">
        <f t="shared" si="11"/>
        <v>6882.3636000000015</v>
      </c>
      <c r="E60" s="526">
        <f t="shared" si="0"/>
        <v>294.86100000000005</v>
      </c>
      <c r="F60" s="502">
        <f t="shared" si="1"/>
        <v>12195.450960000002</v>
      </c>
      <c r="G60" s="527">
        <f t="shared" si="10"/>
        <v>78344.875560000015</v>
      </c>
      <c r="H60" s="546">
        <f t="shared" si="2"/>
        <v>58972.200000000004</v>
      </c>
      <c r="I60" s="547">
        <v>7745.85</v>
      </c>
      <c r="J60" s="547">
        <f t="shared" si="3"/>
        <v>66718.05</v>
      </c>
      <c r="K60" s="547">
        <f t="shared" si="12"/>
        <v>7951.2909000000009</v>
      </c>
      <c r="L60" s="547">
        <f t="shared" si="5"/>
        <v>333.59025000000003</v>
      </c>
      <c r="M60" s="547">
        <f t="shared" si="6"/>
        <v>13797.292740000001</v>
      </c>
      <c r="N60" s="547">
        <f t="shared" si="7"/>
        <v>88800.223890000008</v>
      </c>
      <c r="O60" s="503"/>
      <c r="P60" s="598" t="s">
        <v>934</v>
      </c>
      <c r="U60">
        <v>-2</v>
      </c>
      <c r="V60" s="159"/>
    </row>
    <row r="61" spans="1:22" x14ac:dyDescent="0.25">
      <c r="A61" s="541" t="s">
        <v>891</v>
      </c>
      <c r="B61" s="525" t="s">
        <v>895</v>
      </c>
      <c r="C61" s="767">
        <v>58972.200000000004</v>
      </c>
      <c r="D61" s="502">
        <f t="shared" si="11"/>
        <v>6882.3636000000015</v>
      </c>
      <c r="E61" s="526">
        <f t="shared" si="0"/>
        <v>294.86100000000005</v>
      </c>
      <c r="F61" s="502">
        <f t="shared" si="1"/>
        <v>12195.450960000002</v>
      </c>
      <c r="G61" s="527">
        <f t="shared" si="10"/>
        <v>78344.875560000015</v>
      </c>
      <c r="H61" s="546">
        <f t="shared" si="2"/>
        <v>58972.200000000004</v>
      </c>
      <c r="I61" s="547">
        <v>7745.85</v>
      </c>
      <c r="J61" s="547">
        <f t="shared" si="3"/>
        <v>66718.05</v>
      </c>
      <c r="K61" s="547">
        <f t="shared" si="12"/>
        <v>7951.2909000000009</v>
      </c>
      <c r="L61" s="547">
        <f t="shared" si="5"/>
        <v>333.59025000000003</v>
      </c>
      <c r="M61" s="547">
        <f t="shared" si="6"/>
        <v>13797.292740000001</v>
      </c>
      <c r="N61" s="547">
        <f t="shared" si="7"/>
        <v>88800.223890000008</v>
      </c>
      <c r="O61" s="503"/>
      <c r="P61" s="598"/>
      <c r="U61" s="337">
        <v>8</v>
      </c>
      <c r="V61" s="159"/>
    </row>
    <row r="62" spans="1:22" x14ac:dyDescent="0.25">
      <c r="A62" s="541" t="s">
        <v>891</v>
      </c>
      <c r="B62" s="525" t="s">
        <v>896</v>
      </c>
      <c r="C62" s="767">
        <v>58972.200000000004</v>
      </c>
      <c r="D62" s="502">
        <f t="shared" si="11"/>
        <v>6882.3636000000015</v>
      </c>
      <c r="E62" s="526">
        <f t="shared" si="0"/>
        <v>294.86100000000005</v>
      </c>
      <c r="F62" s="502">
        <f t="shared" si="1"/>
        <v>12195.450960000002</v>
      </c>
      <c r="G62" s="527">
        <f t="shared" si="10"/>
        <v>78344.875560000015</v>
      </c>
      <c r="H62" s="546">
        <f t="shared" si="2"/>
        <v>58972.200000000004</v>
      </c>
      <c r="I62" s="547">
        <v>7745.85</v>
      </c>
      <c r="J62" s="547">
        <f t="shared" si="3"/>
        <v>66718.05</v>
      </c>
      <c r="K62" s="547">
        <f t="shared" si="12"/>
        <v>7951.2909000000009</v>
      </c>
      <c r="L62" s="547">
        <f t="shared" si="5"/>
        <v>333.59025000000003</v>
      </c>
      <c r="M62" s="547">
        <f t="shared" si="6"/>
        <v>13797.292740000001</v>
      </c>
      <c r="N62" s="547">
        <f t="shared" si="7"/>
        <v>88800.223890000008</v>
      </c>
      <c r="O62" s="503"/>
      <c r="P62" s="598" t="s">
        <v>935</v>
      </c>
      <c r="U62" s="370">
        <f>U61*4*U57</f>
        <v>1376</v>
      </c>
      <c r="V62" s="159"/>
    </row>
    <row r="63" spans="1:22" x14ac:dyDescent="0.25">
      <c r="A63" s="541" t="s">
        <v>891</v>
      </c>
      <c r="B63" s="525" t="s">
        <v>897</v>
      </c>
      <c r="C63" s="767">
        <v>68525.100000000006</v>
      </c>
      <c r="D63" s="502">
        <f t="shared" si="11"/>
        <v>8200.6638000000021</v>
      </c>
      <c r="E63" s="526">
        <f t="shared" si="0"/>
        <v>342.62550000000005</v>
      </c>
      <c r="F63" s="502">
        <f t="shared" si="1"/>
        <v>14170.990680000003</v>
      </c>
      <c r="G63" s="527">
        <f t="shared" si="10"/>
        <v>91239.379980000012</v>
      </c>
      <c r="H63" s="546">
        <f t="shared" si="2"/>
        <v>68525.100000000006</v>
      </c>
      <c r="I63" s="547">
        <v>7745.85</v>
      </c>
      <c r="J63" s="547">
        <f t="shared" si="3"/>
        <v>76270.950000000012</v>
      </c>
      <c r="K63" s="547">
        <f t="shared" si="12"/>
        <v>9269.5911000000033</v>
      </c>
      <c r="L63" s="547">
        <f t="shared" si="5"/>
        <v>381.35475000000008</v>
      </c>
      <c r="M63" s="547">
        <f t="shared" si="6"/>
        <v>15772.832460000003</v>
      </c>
      <c r="N63" s="547">
        <f t="shared" si="7"/>
        <v>101694.72831000002</v>
      </c>
      <c r="O63" s="503"/>
      <c r="P63" s="160"/>
      <c r="V63" s="159"/>
    </row>
    <row r="64" spans="1:22" x14ac:dyDescent="0.25">
      <c r="A64" s="541" t="s">
        <v>898</v>
      </c>
      <c r="B64" s="525" t="s">
        <v>899</v>
      </c>
      <c r="C64" s="767">
        <v>70417.2</v>
      </c>
      <c r="D64" s="502">
        <f t="shared" si="11"/>
        <v>8461.7736000000004</v>
      </c>
      <c r="E64" s="526">
        <f t="shared" si="0"/>
        <v>352.08600000000001</v>
      </c>
      <c r="F64" s="502">
        <f t="shared" si="1"/>
        <v>14562.276960000001</v>
      </c>
      <c r="G64" s="527">
        <f t="shared" si="10"/>
        <v>93793.336559999996</v>
      </c>
      <c r="H64" s="546">
        <f t="shared" si="2"/>
        <v>70417.2</v>
      </c>
      <c r="I64" s="547">
        <v>7745.85</v>
      </c>
      <c r="J64" s="547">
        <f t="shared" si="3"/>
        <v>78163.05</v>
      </c>
      <c r="K64" s="547">
        <f t="shared" si="12"/>
        <v>9530.7009000000016</v>
      </c>
      <c r="L64" s="547">
        <f t="shared" si="5"/>
        <v>390.81525000000005</v>
      </c>
      <c r="M64" s="547">
        <f t="shared" si="6"/>
        <v>16164.118740000002</v>
      </c>
      <c r="N64" s="547">
        <f t="shared" si="7"/>
        <v>104248.68489</v>
      </c>
      <c r="O64" s="503"/>
      <c r="P64" s="598"/>
      <c r="V64" s="159"/>
    </row>
    <row r="65" spans="1:22" x14ac:dyDescent="0.25">
      <c r="A65" s="541" t="s">
        <v>898</v>
      </c>
      <c r="B65" s="525" t="s">
        <v>900</v>
      </c>
      <c r="C65" s="767">
        <v>70417.2</v>
      </c>
      <c r="D65" s="502">
        <f t="shared" si="11"/>
        <v>8461.7736000000004</v>
      </c>
      <c r="E65" s="526">
        <f t="shared" si="0"/>
        <v>352.08600000000001</v>
      </c>
      <c r="F65" s="502">
        <f t="shared" si="1"/>
        <v>14562.276960000001</v>
      </c>
      <c r="G65" s="527">
        <f t="shared" si="10"/>
        <v>93793.336559999996</v>
      </c>
      <c r="H65" s="546">
        <f t="shared" si="2"/>
        <v>70417.2</v>
      </c>
      <c r="I65" s="547">
        <v>7745.85</v>
      </c>
      <c r="J65" s="547">
        <f t="shared" si="3"/>
        <v>78163.05</v>
      </c>
      <c r="K65" s="547">
        <f t="shared" si="12"/>
        <v>9530.7009000000016</v>
      </c>
      <c r="L65" s="547">
        <f t="shared" si="5"/>
        <v>390.81525000000005</v>
      </c>
      <c r="M65" s="547">
        <f t="shared" si="6"/>
        <v>16164.118740000002</v>
      </c>
      <c r="N65" s="547">
        <f t="shared" si="7"/>
        <v>104248.68489</v>
      </c>
      <c r="O65" s="503"/>
      <c r="P65" s="597" t="s">
        <v>872</v>
      </c>
      <c r="V65" s="159"/>
    </row>
    <row r="66" spans="1:22" x14ac:dyDescent="0.25">
      <c r="A66" s="541" t="s">
        <v>898</v>
      </c>
      <c r="B66" s="525" t="s">
        <v>901</v>
      </c>
      <c r="C66" s="767">
        <v>70417.2</v>
      </c>
      <c r="D66" s="502">
        <f t="shared" si="11"/>
        <v>8461.7736000000004</v>
      </c>
      <c r="E66" s="526">
        <f t="shared" si="0"/>
        <v>352.08600000000001</v>
      </c>
      <c r="F66" s="502">
        <f t="shared" si="1"/>
        <v>14562.276960000001</v>
      </c>
      <c r="G66" s="527">
        <f t="shared" si="10"/>
        <v>93793.336559999996</v>
      </c>
      <c r="H66" s="546">
        <f t="shared" si="2"/>
        <v>70417.2</v>
      </c>
      <c r="I66" s="547">
        <v>7745.85</v>
      </c>
      <c r="J66" s="547">
        <f t="shared" si="3"/>
        <v>78163.05</v>
      </c>
      <c r="K66" s="547">
        <f t="shared" si="12"/>
        <v>9530.7009000000016</v>
      </c>
      <c r="L66" s="547">
        <f t="shared" si="5"/>
        <v>390.81525000000005</v>
      </c>
      <c r="M66" s="547">
        <f t="shared" si="6"/>
        <v>16164.118740000002</v>
      </c>
      <c r="N66" s="547">
        <f t="shared" si="7"/>
        <v>104248.68489</v>
      </c>
      <c r="O66" s="503"/>
      <c r="P66" s="598" t="s">
        <v>937</v>
      </c>
      <c r="U66">
        <v>44.7</v>
      </c>
      <c r="V66" s="159"/>
    </row>
    <row r="67" spans="1:22" x14ac:dyDescent="0.25">
      <c r="A67" s="541" t="s">
        <v>898</v>
      </c>
      <c r="B67" s="525" t="s">
        <v>902</v>
      </c>
      <c r="C67" s="767">
        <v>70417.2</v>
      </c>
      <c r="D67" s="502">
        <f t="shared" si="11"/>
        <v>8461.7736000000004</v>
      </c>
      <c r="E67" s="526">
        <f t="shared" si="0"/>
        <v>352.08600000000001</v>
      </c>
      <c r="F67" s="502">
        <f t="shared" si="1"/>
        <v>14562.276960000001</v>
      </c>
      <c r="G67" s="527">
        <f t="shared" si="10"/>
        <v>93793.336559999996</v>
      </c>
      <c r="H67" s="546">
        <f t="shared" si="2"/>
        <v>70417.2</v>
      </c>
      <c r="I67" s="547">
        <v>7745.85</v>
      </c>
      <c r="J67" s="547">
        <f t="shared" si="3"/>
        <v>78163.05</v>
      </c>
      <c r="K67" s="547">
        <f t="shared" si="12"/>
        <v>9530.7009000000016</v>
      </c>
      <c r="L67" s="547">
        <f t="shared" si="5"/>
        <v>390.81525000000005</v>
      </c>
      <c r="M67" s="547">
        <f t="shared" si="6"/>
        <v>16164.118740000002</v>
      </c>
      <c r="N67" s="547">
        <f t="shared" si="7"/>
        <v>104248.68489</v>
      </c>
      <c r="O67" s="503"/>
      <c r="P67" s="598" t="s">
        <v>938</v>
      </c>
      <c r="U67">
        <v>48</v>
      </c>
      <c r="V67" s="159"/>
    </row>
    <row r="68" spans="1:22" x14ac:dyDescent="0.25">
      <c r="A68" s="541" t="s">
        <v>898</v>
      </c>
      <c r="B68" s="525" t="s">
        <v>903</v>
      </c>
      <c r="C68" s="767">
        <v>70417.2</v>
      </c>
      <c r="D68" s="502">
        <f t="shared" si="11"/>
        <v>8461.7736000000004</v>
      </c>
      <c r="E68" s="526">
        <f t="shared" si="0"/>
        <v>352.08600000000001</v>
      </c>
      <c r="F68" s="502">
        <f t="shared" si="1"/>
        <v>14562.276960000001</v>
      </c>
      <c r="G68" s="527">
        <f t="shared" si="10"/>
        <v>93793.336559999996</v>
      </c>
      <c r="H68" s="546">
        <f t="shared" si="2"/>
        <v>70417.2</v>
      </c>
      <c r="I68" s="547">
        <v>7745.85</v>
      </c>
      <c r="J68" s="547">
        <f t="shared" si="3"/>
        <v>78163.05</v>
      </c>
      <c r="K68" s="547">
        <f t="shared" si="12"/>
        <v>9530.7009000000016</v>
      </c>
      <c r="L68" s="547">
        <f t="shared" si="5"/>
        <v>390.81525000000005</v>
      </c>
      <c r="M68" s="547">
        <f t="shared" si="6"/>
        <v>16164.118740000002</v>
      </c>
      <c r="N68" s="547">
        <f t="shared" si="7"/>
        <v>104248.68489</v>
      </c>
      <c r="O68" s="503"/>
      <c r="P68" s="598" t="s">
        <v>939</v>
      </c>
      <c r="U68">
        <v>2145.6</v>
      </c>
      <c r="V68" s="159"/>
    </row>
    <row r="69" spans="1:22" x14ac:dyDescent="0.25">
      <c r="A69" s="541" t="s">
        <v>898</v>
      </c>
      <c r="B69" s="525" t="s">
        <v>904</v>
      </c>
      <c r="C69" s="767">
        <v>81137.7</v>
      </c>
      <c r="D69" s="502">
        <f t="shared" ref="D69:D100" si="13">(C69-$B$110)*0.138</f>
        <v>9941.2026000000005</v>
      </c>
      <c r="E69" s="526">
        <f t="shared" ref="E69:E100" si="14">C69*0.005</f>
        <v>405.68849999999998</v>
      </c>
      <c r="F69" s="502">
        <f t="shared" ref="F69:F100" si="15">C69*0.2068</f>
        <v>16779.27636</v>
      </c>
      <c r="G69" s="527">
        <f t="shared" ref="G69:G100" si="16">SUM(C69:F69)</f>
        <v>108263.86746000001</v>
      </c>
      <c r="H69" s="546">
        <f t="shared" ref="H69:H81" si="17">C69</f>
        <v>81137.7</v>
      </c>
      <c r="I69" s="547">
        <v>7745.85</v>
      </c>
      <c r="J69" s="547">
        <f t="shared" ref="J69:J81" si="18">C69+I69</f>
        <v>88883.55</v>
      </c>
      <c r="K69" s="547">
        <f t="shared" ref="K69:K81" si="19">(J69-$B$110)*0.138</f>
        <v>11010.129900000002</v>
      </c>
      <c r="L69" s="547">
        <f t="shared" ref="L69:L81" si="20">J69*0.005</f>
        <v>444.41775000000001</v>
      </c>
      <c r="M69" s="547">
        <f t="shared" ref="M69:M81" si="21">J69*0.2068</f>
        <v>18381.118140000002</v>
      </c>
      <c r="N69" s="547">
        <f t="shared" ref="N69:N81" si="22">SUM(J69:M69)</f>
        <v>118719.21579</v>
      </c>
      <c r="O69" s="503"/>
      <c r="P69" s="598" t="s">
        <v>940</v>
      </c>
      <c r="U69" s="599">
        <v>0.6</v>
      </c>
      <c r="V69" s="159"/>
    </row>
    <row r="70" spans="1:22" x14ac:dyDescent="0.25">
      <c r="A70" s="541" t="s">
        <v>905</v>
      </c>
      <c r="B70" s="525" t="s">
        <v>906</v>
      </c>
      <c r="C70" s="767">
        <v>83571.600000000006</v>
      </c>
      <c r="D70" s="502">
        <f t="shared" si="13"/>
        <v>10277.080800000002</v>
      </c>
      <c r="E70" s="526">
        <f t="shared" si="14"/>
        <v>417.85800000000006</v>
      </c>
      <c r="F70" s="502">
        <f t="shared" si="15"/>
        <v>17282.606880000003</v>
      </c>
      <c r="G70" s="527">
        <f t="shared" si="16"/>
        <v>111549.14568</v>
      </c>
      <c r="H70" s="546">
        <f t="shared" si="17"/>
        <v>83571.600000000006</v>
      </c>
      <c r="I70" s="547">
        <v>7745.85</v>
      </c>
      <c r="J70" s="547">
        <f t="shared" si="18"/>
        <v>91317.450000000012</v>
      </c>
      <c r="K70" s="547">
        <f t="shared" si="19"/>
        <v>11346.008100000003</v>
      </c>
      <c r="L70" s="547">
        <f t="shared" si="20"/>
        <v>456.58725000000004</v>
      </c>
      <c r="M70" s="547">
        <f t="shared" si="21"/>
        <v>18884.448660000002</v>
      </c>
      <c r="N70" s="547">
        <f t="shared" si="22"/>
        <v>122004.49401000002</v>
      </c>
      <c r="O70" s="503"/>
      <c r="P70" s="598" t="s">
        <v>941</v>
      </c>
      <c r="U70" s="595">
        <f>ROUND(U69*U68,0)</f>
        <v>1287</v>
      </c>
      <c r="V70" s="159"/>
    </row>
    <row r="71" spans="1:22" x14ac:dyDescent="0.25">
      <c r="A71" s="541" t="s">
        <v>905</v>
      </c>
      <c r="B71" s="525" t="s">
        <v>907</v>
      </c>
      <c r="C71" s="767">
        <v>83571.600000000006</v>
      </c>
      <c r="D71" s="502">
        <f t="shared" si="13"/>
        <v>10277.080800000002</v>
      </c>
      <c r="E71" s="526">
        <f t="shared" si="14"/>
        <v>417.85800000000006</v>
      </c>
      <c r="F71" s="502">
        <f t="shared" si="15"/>
        <v>17282.606880000003</v>
      </c>
      <c r="G71" s="527">
        <f t="shared" si="16"/>
        <v>111549.14568</v>
      </c>
      <c r="H71" s="546">
        <f t="shared" si="17"/>
        <v>83571.600000000006</v>
      </c>
      <c r="I71" s="547">
        <v>7745.85</v>
      </c>
      <c r="J71" s="547">
        <f t="shared" si="18"/>
        <v>91317.450000000012</v>
      </c>
      <c r="K71" s="547">
        <f t="shared" si="19"/>
        <v>11346.008100000003</v>
      </c>
      <c r="L71" s="547">
        <f t="shared" si="20"/>
        <v>456.58725000000004</v>
      </c>
      <c r="M71" s="547">
        <f t="shared" si="21"/>
        <v>18884.448660000002</v>
      </c>
      <c r="N71" s="547">
        <f t="shared" si="22"/>
        <v>122004.49401000002</v>
      </c>
      <c r="O71" s="503"/>
      <c r="P71" s="161"/>
      <c r="Q71" s="162"/>
      <c r="R71" s="600"/>
      <c r="S71" s="162"/>
      <c r="T71" s="162"/>
      <c r="U71" s="162"/>
      <c r="V71" s="163"/>
    </row>
    <row r="72" spans="1:22" x14ac:dyDescent="0.25">
      <c r="A72" s="541" t="s">
        <v>905</v>
      </c>
      <c r="B72" s="525" t="s">
        <v>908</v>
      </c>
      <c r="C72" s="767">
        <v>83571.600000000006</v>
      </c>
      <c r="D72" s="502">
        <f t="shared" si="13"/>
        <v>10277.080800000002</v>
      </c>
      <c r="E72" s="526">
        <f t="shared" si="14"/>
        <v>417.85800000000006</v>
      </c>
      <c r="F72" s="502">
        <f t="shared" si="15"/>
        <v>17282.606880000003</v>
      </c>
      <c r="G72" s="527">
        <f t="shared" si="16"/>
        <v>111549.14568</v>
      </c>
      <c r="H72" s="546">
        <f t="shared" si="17"/>
        <v>83571.600000000006</v>
      </c>
      <c r="I72" s="547">
        <v>7745.85</v>
      </c>
      <c r="J72" s="547">
        <f t="shared" si="18"/>
        <v>91317.450000000012</v>
      </c>
      <c r="K72" s="547">
        <f t="shared" si="19"/>
        <v>11346.008100000003</v>
      </c>
      <c r="L72" s="547">
        <f t="shared" si="20"/>
        <v>456.58725000000004</v>
      </c>
      <c r="M72" s="547">
        <f t="shared" si="21"/>
        <v>18884.448660000002</v>
      </c>
      <c r="N72" s="547">
        <f t="shared" si="22"/>
        <v>122004.49401000002</v>
      </c>
      <c r="O72" s="503"/>
      <c r="P72" s="503"/>
    </row>
    <row r="73" spans="1:22" x14ac:dyDescent="0.25">
      <c r="A73" s="541" t="s">
        <v>905</v>
      </c>
      <c r="B73" s="525" t="s">
        <v>909</v>
      </c>
      <c r="C73" s="767">
        <v>83571.600000000006</v>
      </c>
      <c r="D73" s="502">
        <f t="shared" si="13"/>
        <v>10277.080800000002</v>
      </c>
      <c r="E73" s="526">
        <f t="shared" si="14"/>
        <v>417.85800000000006</v>
      </c>
      <c r="F73" s="502">
        <f t="shared" si="15"/>
        <v>17282.606880000003</v>
      </c>
      <c r="G73" s="527">
        <f t="shared" si="16"/>
        <v>111549.14568</v>
      </c>
      <c r="H73" s="546">
        <f t="shared" si="17"/>
        <v>83571.600000000006</v>
      </c>
      <c r="I73" s="547">
        <v>7745.85</v>
      </c>
      <c r="J73" s="547">
        <f t="shared" si="18"/>
        <v>91317.450000000012</v>
      </c>
      <c r="K73" s="547">
        <f t="shared" si="19"/>
        <v>11346.008100000003</v>
      </c>
      <c r="L73" s="547">
        <f t="shared" si="20"/>
        <v>456.58725000000004</v>
      </c>
      <c r="M73" s="547">
        <f t="shared" si="21"/>
        <v>18884.448660000002</v>
      </c>
      <c r="N73" s="547">
        <f t="shared" si="22"/>
        <v>122004.49401000002</v>
      </c>
      <c r="O73" s="503"/>
      <c r="P73" s="503"/>
    </row>
    <row r="74" spans="1:22" x14ac:dyDescent="0.25">
      <c r="A74" s="541" t="s">
        <v>905</v>
      </c>
      <c r="B74" s="525" t="s">
        <v>910</v>
      </c>
      <c r="C74" s="767">
        <v>83571.600000000006</v>
      </c>
      <c r="D74" s="502">
        <f t="shared" si="13"/>
        <v>10277.080800000002</v>
      </c>
      <c r="E74" s="526">
        <f t="shared" si="14"/>
        <v>417.85800000000006</v>
      </c>
      <c r="F74" s="502">
        <f t="shared" si="15"/>
        <v>17282.606880000003</v>
      </c>
      <c r="G74" s="527">
        <f t="shared" si="16"/>
        <v>111549.14568</v>
      </c>
      <c r="H74" s="546">
        <f t="shared" si="17"/>
        <v>83571.600000000006</v>
      </c>
      <c r="I74" s="547">
        <v>7745.85</v>
      </c>
      <c r="J74" s="547">
        <f t="shared" si="18"/>
        <v>91317.450000000012</v>
      </c>
      <c r="K74" s="547">
        <f t="shared" si="19"/>
        <v>11346.008100000003</v>
      </c>
      <c r="L74" s="547">
        <f t="shared" si="20"/>
        <v>456.58725000000004</v>
      </c>
      <c r="M74" s="547">
        <f t="shared" si="21"/>
        <v>18884.448660000002</v>
      </c>
      <c r="N74" s="547">
        <f t="shared" si="22"/>
        <v>122004.49401000002</v>
      </c>
      <c r="O74" s="503"/>
      <c r="P74" s="503"/>
    </row>
    <row r="75" spans="1:22" x14ac:dyDescent="0.25">
      <c r="A75" s="541" t="s">
        <v>905</v>
      </c>
      <c r="B75" s="525" t="s">
        <v>911</v>
      </c>
      <c r="C75" s="767">
        <v>96376.35</v>
      </c>
      <c r="D75" s="502">
        <f t="shared" si="13"/>
        <v>12044.136300000002</v>
      </c>
      <c r="E75" s="526">
        <f t="shared" si="14"/>
        <v>481.88175000000001</v>
      </c>
      <c r="F75" s="502">
        <f t="shared" si="15"/>
        <v>19930.629180000004</v>
      </c>
      <c r="G75" s="527">
        <f t="shared" si="16"/>
        <v>128832.99723000001</v>
      </c>
      <c r="H75" s="546">
        <f t="shared" si="17"/>
        <v>96376.35</v>
      </c>
      <c r="I75" s="547">
        <v>7745.85</v>
      </c>
      <c r="J75" s="547">
        <f t="shared" si="18"/>
        <v>104122.20000000001</v>
      </c>
      <c r="K75" s="547">
        <f t="shared" si="19"/>
        <v>13113.063600000003</v>
      </c>
      <c r="L75" s="547">
        <f t="shared" si="20"/>
        <v>520.6110000000001</v>
      </c>
      <c r="M75" s="547">
        <f t="shared" si="21"/>
        <v>21532.470960000002</v>
      </c>
      <c r="N75" s="547">
        <f t="shared" si="22"/>
        <v>139288.34556000002</v>
      </c>
      <c r="O75" s="503"/>
      <c r="P75" s="503"/>
    </row>
    <row r="76" spans="1:22" x14ac:dyDescent="0.25">
      <c r="A76" s="541">
        <v>9</v>
      </c>
      <c r="B76" s="525" t="s">
        <v>912</v>
      </c>
      <c r="C76" s="767">
        <v>99891.75</v>
      </c>
      <c r="D76" s="502">
        <f t="shared" si="13"/>
        <v>12529.261500000001</v>
      </c>
      <c r="E76" s="526">
        <f t="shared" si="14"/>
        <v>499.45875000000001</v>
      </c>
      <c r="F76" s="502">
        <f t="shared" si="15"/>
        <v>20657.6139</v>
      </c>
      <c r="G76" s="527">
        <f t="shared" si="16"/>
        <v>133578.08415000001</v>
      </c>
      <c r="H76" s="546">
        <f t="shared" si="17"/>
        <v>99891.75</v>
      </c>
      <c r="I76" s="547">
        <v>7745.85</v>
      </c>
      <c r="J76" s="547">
        <f t="shared" si="18"/>
        <v>107637.6</v>
      </c>
      <c r="K76" s="547">
        <f t="shared" si="19"/>
        <v>13598.188800000002</v>
      </c>
      <c r="L76" s="547">
        <f t="shared" si="20"/>
        <v>538.18799999999999</v>
      </c>
      <c r="M76" s="547">
        <f t="shared" si="21"/>
        <v>22259.455680000003</v>
      </c>
      <c r="N76" s="547">
        <f t="shared" si="22"/>
        <v>144033.43248000002</v>
      </c>
      <c r="O76" s="503"/>
      <c r="P76" s="503"/>
    </row>
    <row r="77" spans="1:22" x14ac:dyDescent="0.25">
      <c r="A77" s="541">
        <v>9</v>
      </c>
      <c r="B77" s="525" t="s">
        <v>913</v>
      </c>
      <c r="C77" s="767">
        <v>99891.75</v>
      </c>
      <c r="D77" s="502">
        <f t="shared" si="13"/>
        <v>12529.261500000001</v>
      </c>
      <c r="E77" s="526">
        <f t="shared" si="14"/>
        <v>499.45875000000001</v>
      </c>
      <c r="F77" s="502">
        <f t="shared" si="15"/>
        <v>20657.6139</v>
      </c>
      <c r="G77" s="527">
        <f t="shared" si="16"/>
        <v>133578.08415000001</v>
      </c>
      <c r="H77" s="546">
        <f t="shared" si="17"/>
        <v>99891.75</v>
      </c>
      <c r="I77" s="547">
        <v>7745.85</v>
      </c>
      <c r="J77" s="547">
        <f t="shared" si="18"/>
        <v>107637.6</v>
      </c>
      <c r="K77" s="547">
        <f t="shared" si="19"/>
        <v>13598.188800000002</v>
      </c>
      <c r="L77" s="547">
        <f t="shared" si="20"/>
        <v>538.18799999999999</v>
      </c>
      <c r="M77" s="547">
        <f t="shared" si="21"/>
        <v>22259.455680000003</v>
      </c>
      <c r="N77" s="547">
        <f t="shared" si="22"/>
        <v>144033.43248000002</v>
      </c>
      <c r="O77" s="503"/>
      <c r="P77" s="503"/>
    </row>
    <row r="78" spans="1:22" x14ac:dyDescent="0.25">
      <c r="A78" s="541">
        <v>9</v>
      </c>
      <c r="B78" s="525" t="s">
        <v>914</v>
      </c>
      <c r="C78" s="767">
        <v>99891.75</v>
      </c>
      <c r="D78" s="502">
        <f t="shared" si="13"/>
        <v>12529.261500000001</v>
      </c>
      <c r="E78" s="526">
        <f t="shared" si="14"/>
        <v>499.45875000000001</v>
      </c>
      <c r="F78" s="502">
        <f t="shared" si="15"/>
        <v>20657.6139</v>
      </c>
      <c r="G78" s="527">
        <f t="shared" si="16"/>
        <v>133578.08415000001</v>
      </c>
      <c r="H78" s="546">
        <f t="shared" si="17"/>
        <v>99891.75</v>
      </c>
      <c r="I78" s="547">
        <v>7745.85</v>
      </c>
      <c r="J78" s="547">
        <f t="shared" si="18"/>
        <v>107637.6</v>
      </c>
      <c r="K78" s="547">
        <f t="shared" si="19"/>
        <v>13598.188800000002</v>
      </c>
      <c r="L78" s="547">
        <f t="shared" si="20"/>
        <v>538.18799999999999</v>
      </c>
      <c r="M78" s="547">
        <f t="shared" si="21"/>
        <v>22259.455680000003</v>
      </c>
      <c r="N78" s="547">
        <f t="shared" si="22"/>
        <v>144033.43248000002</v>
      </c>
      <c r="O78" s="503"/>
      <c r="P78" s="503"/>
    </row>
    <row r="79" spans="1:22" x14ac:dyDescent="0.25">
      <c r="A79" s="541">
        <v>9</v>
      </c>
      <c r="B79" s="525" t="s">
        <v>915</v>
      </c>
      <c r="C79" s="767">
        <v>99891.75</v>
      </c>
      <c r="D79" s="502">
        <f t="shared" si="13"/>
        <v>12529.261500000001</v>
      </c>
      <c r="E79" s="526">
        <f t="shared" si="14"/>
        <v>499.45875000000001</v>
      </c>
      <c r="F79" s="502">
        <f t="shared" si="15"/>
        <v>20657.6139</v>
      </c>
      <c r="G79" s="527">
        <f t="shared" si="16"/>
        <v>133578.08415000001</v>
      </c>
      <c r="H79" s="546">
        <f t="shared" si="17"/>
        <v>99891.75</v>
      </c>
      <c r="I79" s="547">
        <v>7745.85</v>
      </c>
      <c r="J79" s="547">
        <f t="shared" si="18"/>
        <v>107637.6</v>
      </c>
      <c r="K79" s="547">
        <f t="shared" si="19"/>
        <v>13598.188800000002</v>
      </c>
      <c r="L79" s="547">
        <f t="shared" si="20"/>
        <v>538.18799999999999</v>
      </c>
      <c r="M79" s="547">
        <f t="shared" si="21"/>
        <v>22259.455680000003</v>
      </c>
      <c r="N79" s="547">
        <f t="shared" si="22"/>
        <v>144033.43248000002</v>
      </c>
      <c r="O79" s="503"/>
      <c r="P79" s="503"/>
    </row>
    <row r="80" spans="1:22" x14ac:dyDescent="0.25">
      <c r="A80" s="541">
        <v>9</v>
      </c>
      <c r="B80" s="525" t="s">
        <v>916</v>
      </c>
      <c r="C80" s="767">
        <v>99891.75</v>
      </c>
      <c r="D80" s="502">
        <f t="shared" si="13"/>
        <v>12529.261500000001</v>
      </c>
      <c r="E80" s="526">
        <f t="shared" si="14"/>
        <v>499.45875000000001</v>
      </c>
      <c r="F80" s="502">
        <f t="shared" si="15"/>
        <v>20657.6139</v>
      </c>
      <c r="G80" s="527">
        <f t="shared" si="16"/>
        <v>133578.08415000001</v>
      </c>
      <c r="H80" s="546">
        <f t="shared" si="17"/>
        <v>99891.75</v>
      </c>
      <c r="I80" s="547">
        <v>7745.85</v>
      </c>
      <c r="J80" s="547">
        <f t="shared" si="18"/>
        <v>107637.6</v>
      </c>
      <c r="K80" s="547">
        <f t="shared" si="19"/>
        <v>13598.188800000002</v>
      </c>
      <c r="L80" s="547">
        <f t="shared" si="20"/>
        <v>538.18799999999999</v>
      </c>
      <c r="M80" s="547">
        <f t="shared" si="21"/>
        <v>22259.455680000003</v>
      </c>
      <c r="N80" s="547">
        <f t="shared" si="22"/>
        <v>144033.43248000002</v>
      </c>
      <c r="O80" s="503"/>
      <c r="P80" s="503"/>
    </row>
    <row r="81" spans="1:16" x14ac:dyDescent="0.25">
      <c r="A81" s="541">
        <v>9</v>
      </c>
      <c r="B81" s="525" t="s">
        <v>917</v>
      </c>
      <c r="C81" s="767">
        <v>114948.75</v>
      </c>
      <c r="D81" s="502">
        <f t="shared" si="13"/>
        <v>14607.127500000001</v>
      </c>
      <c r="E81" s="526">
        <f t="shared" si="14"/>
        <v>574.74374999999998</v>
      </c>
      <c r="F81" s="502">
        <f t="shared" si="15"/>
        <v>23771.4015</v>
      </c>
      <c r="G81" s="527">
        <f t="shared" si="16"/>
        <v>153902.02275</v>
      </c>
      <c r="H81" s="605">
        <f t="shared" si="17"/>
        <v>114948.75</v>
      </c>
      <c r="I81" s="547">
        <v>7745.85</v>
      </c>
      <c r="J81" s="547">
        <f t="shared" si="18"/>
        <v>122694.6</v>
      </c>
      <c r="K81" s="547">
        <f t="shared" si="19"/>
        <v>15676.054800000002</v>
      </c>
      <c r="L81" s="547">
        <f t="shared" si="20"/>
        <v>613.47300000000007</v>
      </c>
      <c r="M81" s="547">
        <f t="shared" si="21"/>
        <v>25373.243280000002</v>
      </c>
      <c r="N81" s="547">
        <f t="shared" si="22"/>
        <v>164357.37108000001</v>
      </c>
      <c r="O81" s="503"/>
      <c r="P81" s="503"/>
    </row>
    <row r="82" spans="1:16" x14ac:dyDescent="0.25">
      <c r="A82" s="541" t="s">
        <v>866</v>
      </c>
      <c r="B82" s="149">
        <v>1</v>
      </c>
      <c r="C82" s="767">
        <v>88364</v>
      </c>
      <c r="D82" s="502">
        <f t="shared" si="13"/>
        <v>10938.432000000001</v>
      </c>
      <c r="E82" s="361">
        <f t="shared" si="14"/>
        <v>441.82</v>
      </c>
      <c r="F82" s="502">
        <f t="shared" si="15"/>
        <v>18273.675200000001</v>
      </c>
      <c r="G82" s="604">
        <f t="shared" si="16"/>
        <v>118017.92720000001</v>
      </c>
      <c r="H82" s="606"/>
    </row>
    <row r="83" spans="1:16" x14ac:dyDescent="0.25">
      <c r="A83" s="541" t="s">
        <v>866</v>
      </c>
      <c r="B83" s="149">
        <v>2</v>
      </c>
      <c r="C83" s="767">
        <v>91131</v>
      </c>
      <c r="D83" s="502">
        <f t="shared" si="13"/>
        <v>11320.278</v>
      </c>
      <c r="E83" s="361">
        <f t="shared" si="14"/>
        <v>455.65500000000003</v>
      </c>
      <c r="F83" s="502">
        <f t="shared" si="15"/>
        <v>18845.890800000001</v>
      </c>
      <c r="G83" s="527">
        <f t="shared" si="16"/>
        <v>121752.82380000001</v>
      </c>
    </row>
    <row r="84" spans="1:16" x14ac:dyDescent="0.25">
      <c r="A84" s="541" t="s">
        <v>866</v>
      </c>
      <c r="B84" s="149">
        <v>3</v>
      </c>
      <c r="C84" s="767">
        <v>93898</v>
      </c>
      <c r="D84" s="502">
        <f t="shared" si="13"/>
        <v>11702.124000000002</v>
      </c>
      <c r="E84" s="361">
        <f t="shared" si="14"/>
        <v>469.49</v>
      </c>
      <c r="F84" s="502">
        <f t="shared" si="15"/>
        <v>19418.106400000001</v>
      </c>
      <c r="G84" s="527">
        <f t="shared" si="16"/>
        <v>125487.72040000001</v>
      </c>
    </row>
    <row r="85" spans="1:16" x14ac:dyDescent="0.25">
      <c r="A85" s="541" t="s">
        <v>866</v>
      </c>
      <c r="B85" s="149">
        <v>4</v>
      </c>
      <c r="C85" s="767">
        <v>96665</v>
      </c>
      <c r="D85" s="502">
        <f t="shared" si="13"/>
        <v>12083.970000000001</v>
      </c>
      <c r="E85" s="361">
        <f t="shared" si="14"/>
        <v>483.32499999999999</v>
      </c>
      <c r="F85" s="502">
        <f t="shared" si="15"/>
        <v>19990.322</v>
      </c>
      <c r="G85" s="527">
        <f t="shared" si="16"/>
        <v>129222.617</v>
      </c>
    </row>
    <row r="86" spans="1:16" x14ac:dyDescent="0.25">
      <c r="A86" s="541" t="s">
        <v>866</v>
      </c>
      <c r="B86" s="149">
        <v>5</v>
      </c>
      <c r="C86" s="767">
        <v>99425</v>
      </c>
      <c r="D86" s="502">
        <f t="shared" si="13"/>
        <v>12464.85</v>
      </c>
      <c r="E86" s="361">
        <f t="shared" si="14"/>
        <v>497.125</v>
      </c>
      <c r="F86" s="502">
        <f t="shared" si="15"/>
        <v>20561.09</v>
      </c>
      <c r="G86" s="527">
        <f t="shared" si="16"/>
        <v>132948.065</v>
      </c>
    </row>
    <row r="87" spans="1:16" x14ac:dyDescent="0.25">
      <c r="A87" s="541" t="s">
        <v>866</v>
      </c>
      <c r="B87" s="149">
        <v>6</v>
      </c>
      <c r="C87" s="767">
        <v>99425</v>
      </c>
      <c r="D87" s="502">
        <f t="shared" si="13"/>
        <v>12464.85</v>
      </c>
      <c r="E87" s="361">
        <f t="shared" si="14"/>
        <v>497.125</v>
      </c>
      <c r="F87" s="502">
        <f t="shared" si="15"/>
        <v>20561.09</v>
      </c>
      <c r="G87" s="527">
        <f t="shared" si="16"/>
        <v>132948.065</v>
      </c>
    </row>
    <row r="88" spans="1:16" x14ac:dyDescent="0.25">
      <c r="A88" s="541" t="s">
        <v>866</v>
      </c>
      <c r="B88" s="149">
        <v>7</v>
      </c>
      <c r="C88" s="767">
        <v>99425</v>
      </c>
      <c r="D88" s="502">
        <f t="shared" si="13"/>
        <v>12464.85</v>
      </c>
      <c r="E88" s="361">
        <f t="shared" si="14"/>
        <v>497.125</v>
      </c>
      <c r="F88" s="502">
        <f t="shared" si="15"/>
        <v>20561.09</v>
      </c>
      <c r="G88" s="527">
        <f t="shared" si="16"/>
        <v>132948.065</v>
      </c>
    </row>
    <row r="89" spans="1:16" x14ac:dyDescent="0.25">
      <c r="A89" s="541" t="s">
        <v>866</v>
      </c>
      <c r="B89" s="149">
        <v>8</v>
      </c>
      <c r="C89" s="767">
        <v>99425</v>
      </c>
      <c r="D89" s="502">
        <f t="shared" si="13"/>
        <v>12464.85</v>
      </c>
      <c r="E89" s="361">
        <f t="shared" si="14"/>
        <v>497.125</v>
      </c>
      <c r="F89" s="502">
        <f t="shared" si="15"/>
        <v>20561.09</v>
      </c>
      <c r="G89" s="527">
        <f t="shared" si="16"/>
        <v>132948.065</v>
      </c>
    </row>
    <row r="90" spans="1:16" x14ac:dyDescent="0.25">
      <c r="A90" s="541" t="s">
        <v>866</v>
      </c>
      <c r="B90" s="149">
        <v>9</v>
      </c>
      <c r="C90" s="767">
        <v>105996</v>
      </c>
      <c r="D90" s="502">
        <f t="shared" si="13"/>
        <v>13371.648000000001</v>
      </c>
      <c r="E90" s="361">
        <f t="shared" si="14"/>
        <v>529.98</v>
      </c>
      <c r="F90" s="502">
        <f t="shared" si="15"/>
        <v>21919.9728</v>
      </c>
      <c r="G90" s="527">
        <f t="shared" si="16"/>
        <v>141817.60079999999</v>
      </c>
    </row>
    <row r="91" spans="1:16" x14ac:dyDescent="0.25">
      <c r="A91" s="541" t="s">
        <v>866</v>
      </c>
      <c r="B91" s="149">
        <v>10</v>
      </c>
      <c r="C91" s="767">
        <v>105996</v>
      </c>
      <c r="D91" s="502">
        <f t="shared" si="13"/>
        <v>13371.648000000001</v>
      </c>
      <c r="E91" s="361">
        <f t="shared" si="14"/>
        <v>529.98</v>
      </c>
      <c r="F91" s="502">
        <f t="shared" si="15"/>
        <v>21919.9728</v>
      </c>
      <c r="G91" s="527">
        <f t="shared" si="16"/>
        <v>141817.60079999999</v>
      </c>
    </row>
    <row r="92" spans="1:16" x14ac:dyDescent="0.25">
      <c r="A92" s="541" t="s">
        <v>866</v>
      </c>
      <c r="B92" s="149">
        <v>11</v>
      </c>
      <c r="C92" s="767">
        <v>105996</v>
      </c>
      <c r="D92" s="502">
        <f t="shared" si="13"/>
        <v>13371.648000000001</v>
      </c>
      <c r="E92" s="361">
        <f t="shared" si="14"/>
        <v>529.98</v>
      </c>
      <c r="F92" s="502">
        <f t="shared" si="15"/>
        <v>21919.9728</v>
      </c>
      <c r="G92" s="527">
        <f t="shared" si="16"/>
        <v>141817.60079999999</v>
      </c>
    </row>
    <row r="93" spans="1:16" x14ac:dyDescent="0.25">
      <c r="A93" s="541" t="s">
        <v>866</v>
      </c>
      <c r="B93" s="149">
        <v>12</v>
      </c>
      <c r="C93" s="767">
        <v>105996</v>
      </c>
      <c r="D93" s="502">
        <f t="shared" si="13"/>
        <v>13371.648000000001</v>
      </c>
      <c r="E93" s="361">
        <f t="shared" si="14"/>
        <v>529.98</v>
      </c>
      <c r="F93" s="502">
        <f t="shared" si="15"/>
        <v>21919.9728</v>
      </c>
      <c r="G93" s="527">
        <f t="shared" si="16"/>
        <v>141817.60079999999</v>
      </c>
    </row>
    <row r="94" spans="1:16" x14ac:dyDescent="0.25">
      <c r="A94" s="541" t="s">
        <v>866</v>
      </c>
      <c r="B94" s="149">
        <v>13</v>
      </c>
      <c r="C94" s="767">
        <v>105996</v>
      </c>
      <c r="D94" s="502">
        <f t="shared" si="13"/>
        <v>13371.648000000001</v>
      </c>
      <c r="E94" s="361">
        <f t="shared" si="14"/>
        <v>529.98</v>
      </c>
      <c r="F94" s="502">
        <f t="shared" si="15"/>
        <v>21919.9728</v>
      </c>
      <c r="G94" s="527">
        <f t="shared" si="16"/>
        <v>141817.60079999999</v>
      </c>
    </row>
    <row r="95" spans="1:16" x14ac:dyDescent="0.25">
      <c r="A95" s="541" t="s">
        <v>866</v>
      </c>
      <c r="B95" s="149">
        <v>14</v>
      </c>
      <c r="C95" s="767">
        <v>112569</v>
      </c>
      <c r="D95" s="502">
        <f t="shared" si="13"/>
        <v>14278.722000000002</v>
      </c>
      <c r="E95" s="361">
        <f t="shared" si="14"/>
        <v>562.84500000000003</v>
      </c>
      <c r="F95" s="502">
        <f t="shared" si="15"/>
        <v>23279.269200000002</v>
      </c>
      <c r="G95" s="527">
        <f t="shared" si="16"/>
        <v>150689.83620000002</v>
      </c>
    </row>
    <row r="96" spans="1:16" x14ac:dyDescent="0.25">
      <c r="A96" s="541" t="s">
        <v>866</v>
      </c>
      <c r="B96" s="149">
        <v>15</v>
      </c>
      <c r="C96" s="767">
        <v>112569</v>
      </c>
      <c r="D96" s="502">
        <f t="shared" si="13"/>
        <v>14278.722000000002</v>
      </c>
      <c r="E96" s="361">
        <f t="shared" si="14"/>
        <v>562.84500000000003</v>
      </c>
      <c r="F96" s="502">
        <f t="shared" si="15"/>
        <v>23279.269200000002</v>
      </c>
      <c r="G96" s="527">
        <f t="shared" si="16"/>
        <v>150689.83620000002</v>
      </c>
    </row>
    <row r="97" spans="1:229" x14ac:dyDescent="0.25">
      <c r="A97" s="541" t="s">
        <v>866</v>
      </c>
      <c r="B97" s="149">
        <v>16</v>
      </c>
      <c r="C97" s="767">
        <v>112569</v>
      </c>
      <c r="D97" s="502">
        <f t="shared" si="13"/>
        <v>14278.722000000002</v>
      </c>
      <c r="E97" s="361">
        <f t="shared" si="14"/>
        <v>562.84500000000003</v>
      </c>
      <c r="F97" s="502">
        <f t="shared" si="15"/>
        <v>23279.269200000002</v>
      </c>
      <c r="G97" s="527">
        <f t="shared" si="16"/>
        <v>150689.83620000002</v>
      </c>
    </row>
    <row r="98" spans="1:229" x14ac:dyDescent="0.25">
      <c r="A98" s="541" t="s">
        <v>866</v>
      </c>
      <c r="B98" s="149">
        <v>17</v>
      </c>
      <c r="C98" s="767">
        <v>112569</v>
      </c>
      <c r="D98" s="502">
        <f t="shared" si="13"/>
        <v>14278.722000000002</v>
      </c>
      <c r="E98" s="361">
        <f t="shared" si="14"/>
        <v>562.84500000000003</v>
      </c>
      <c r="F98" s="502">
        <f t="shared" si="15"/>
        <v>23279.269200000002</v>
      </c>
      <c r="G98" s="527">
        <f t="shared" si="16"/>
        <v>150689.83620000002</v>
      </c>
    </row>
    <row r="99" spans="1:229" x14ac:dyDescent="0.25">
      <c r="A99" s="541" t="s">
        <v>866</v>
      </c>
      <c r="B99" s="149">
        <v>18</v>
      </c>
      <c r="C99" s="767">
        <v>112569</v>
      </c>
      <c r="D99" s="603">
        <f t="shared" si="13"/>
        <v>14278.722000000002</v>
      </c>
      <c r="E99" s="361">
        <f t="shared" si="14"/>
        <v>562.84500000000003</v>
      </c>
      <c r="F99" s="502">
        <f t="shared" si="15"/>
        <v>23279.269200000002</v>
      </c>
      <c r="G99" s="527">
        <f t="shared" si="16"/>
        <v>150689.83620000002</v>
      </c>
    </row>
    <row r="100" spans="1:229" ht="15.75" thickBot="1" x14ac:dyDescent="0.3">
      <c r="A100" s="542" t="s">
        <v>866</v>
      </c>
      <c r="B100" s="528">
        <v>19</v>
      </c>
      <c r="C100" s="768">
        <v>119133</v>
      </c>
      <c r="D100" s="529">
        <f t="shared" si="13"/>
        <v>15184.554000000002</v>
      </c>
      <c r="E100" s="602">
        <f t="shared" si="14"/>
        <v>595.66499999999996</v>
      </c>
      <c r="F100" s="529">
        <f t="shared" si="15"/>
        <v>24636.704400000002</v>
      </c>
      <c r="G100" s="530">
        <f t="shared" si="16"/>
        <v>159549.92340000003</v>
      </c>
    </row>
    <row r="101" spans="1:229" ht="23.45" customHeight="1" x14ac:dyDescent="0.25">
      <c r="A101" s="504"/>
      <c r="B101" s="504"/>
      <c r="C101" s="505"/>
      <c r="D101" s="505"/>
      <c r="E101" s="506"/>
      <c r="F101" s="505"/>
      <c r="G101" s="505"/>
    </row>
    <row r="103" spans="1:229" s="4" customFormat="1" x14ac:dyDescent="0.25">
      <c r="A103" s="507" t="s">
        <v>918</v>
      </c>
      <c r="B103" s="250"/>
      <c r="C103" s="250"/>
      <c r="D103" s="250"/>
      <c r="E103" s="250"/>
      <c r="F103" s="250"/>
      <c r="G103" s="250"/>
      <c r="H103" s="5"/>
      <c r="I103" s="5"/>
      <c r="J103" s="5"/>
      <c r="K103" s="5"/>
      <c r="L103"/>
      <c r="M103" s="5"/>
      <c r="N103" s="5"/>
      <c r="O103" s="5"/>
      <c r="P103" s="5"/>
      <c r="Q103"/>
      <c r="R103" s="499"/>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229" s="4" customFormat="1" ht="105" x14ac:dyDescent="0.25">
      <c r="A104" s="531" t="s">
        <v>919</v>
      </c>
      <c r="B104" s="531" t="s">
        <v>784</v>
      </c>
      <c r="C104" s="532" t="s">
        <v>785</v>
      </c>
      <c r="D104" s="531" t="s">
        <v>786</v>
      </c>
      <c r="E104" s="533" t="s">
        <v>945</v>
      </c>
      <c r="F104" s="5"/>
      <c r="G104" s="5"/>
      <c r="H104" s="5"/>
      <c r="I104" s="5"/>
      <c r="J104" s="5"/>
      <c r="K104" s="5"/>
      <c r="L104"/>
      <c r="M104" s="5"/>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row>
    <row r="105" spans="1:229" s="4" customFormat="1" x14ac:dyDescent="0.25">
      <c r="A105" s="534">
        <v>153400</v>
      </c>
      <c r="B105" s="508">
        <f>(A105-B110)*0.138</f>
        <v>19913.400000000001</v>
      </c>
      <c r="C105" s="509">
        <f t="shared" ref="C105" si="23">A105*0.005</f>
        <v>767</v>
      </c>
      <c r="D105" s="509">
        <f t="shared" ref="D105" si="24">A105*0.2068</f>
        <v>31723.120000000003</v>
      </c>
      <c r="E105" s="509">
        <f t="shared" ref="E105" si="25">SUM(A105:D105)</f>
        <v>205803.51999999999</v>
      </c>
      <c r="F105" s="5"/>
      <c r="G105" s="5"/>
      <c r="H105" s="5"/>
      <c r="I105" s="5"/>
      <c r="J105" s="5"/>
      <c r="K105" s="5"/>
      <c r="L105"/>
      <c r="M105" s="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row>
    <row r="106" spans="1:229" x14ac:dyDescent="0.25">
      <c r="A106" t="s">
        <v>920</v>
      </c>
      <c r="F106" s="364" t="s">
        <v>921</v>
      </c>
      <c r="R106"/>
    </row>
    <row r="107" spans="1:229" x14ac:dyDescent="0.25">
      <c r="R107"/>
    </row>
    <row r="108" spans="1:229" s="4" customFormat="1" x14ac:dyDescent="0.25">
      <c r="A108" s="5"/>
      <c r="B108" s="5"/>
      <c r="C108" s="510"/>
      <c r="D108" s="510"/>
      <c r="E108" s="5"/>
      <c r="F108" s="5"/>
      <c r="G108" s="5"/>
      <c r="H108" s="5"/>
      <c r="I108" s="5"/>
      <c r="J108" s="5"/>
      <c r="K108" s="5"/>
      <c r="L108" s="5"/>
      <c r="M108" s="5"/>
      <c r="N108" s="5"/>
      <c r="O108" s="5"/>
      <c r="P108" s="5"/>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row>
    <row r="109" spans="1:229" x14ac:dyDescent="0.25">
      <c r="A109" s="515" t="s">
        <v>922</v>
      </c>
      <c r="B109" s="515"/>
      <c r="C109" s="515"/>
      <c r="R109"/>
    </row>
    <row r="110" spans="1:229" ht="45" x14ac:dyDescent="0.25">
      <c r="A110" s="511" t="s">
        <v>923</v>
      </c>
      <c r="B110" s="512">
        <v>9100</v>
      </c>
      <c r="C110" s="513">
        <v>0</v>
      </c>
      <c r="R110"/>
    </row>
    <row r="111" spans="1:229" ht="45" x14ac:dyDescent="0.25">
      <c r="A111" s="511" t="s">
        <v>924</v>
      </c>
      <c r="B111" s="514" t="s">
        <v>925</v>
      </c>
      <c r="C111" s="516">
        <v>0.13800000000000001</v>
      </c>
      <c r="R111"/>
    </row>
    <row r="113" spans="1:1" x14ac:dyDescent="0.25">
      <c r="A113" t="s">
        <v>926</v>
      </c>
    </row>
  </sheetData>
  <sheetProtection algorithmName="SHA-512" hashValue="EXQovkFy+7f1v8jNhvkrAgM+KKpz/BhoKsf+UUK+vXc7es2ZOMesNvFnHup26Jt3eK1e8i8C18k9j2xVE9DLww==" saltValue="kh+ur8qi8AbD3Zb4N0wXeA==" spinCount="100000" sheet="1" objects="1" scenarios="1"/>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03C7-98C1-406F-9F69-218637CCB9DB}">
  <sheetPr>
    <tabColor theme="1" tint="0.14999847407452621"/>
    <pageSetUpPr fitToPage="1"/>
  </sheetPr>
  <dimension ref="B2:Q27"/>
  <sheetViews>
    <sheetView showGridLines="0" zoomScale="80" zoomScaleNormal="80" workbookViewId="0">
      <selection activeCell="R11" sqref="R11"/>
    </sheetView>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26.85546875" customWidth="1"/>
  </cols>
  <sheetData>
    <row r="2" spans="2:17" ht="26.25" x14ac:dyDescent="0.4">
      <c r="B2" s="395" t="s">
        <v>10</v>
      </c>
      <c r="C2" s="393"/>
      <c r="D2" s="393"/>
      <c r="E2" s="393"/>
      <c r="F2" s="393"/>
      <c r="G2" s="393"/>
      <c r="H2" s="393"/>
      <c r="I2" s="393"/>
      <c r="J2" s="393"/>
      <c r="K2" s="393"/>
      <c r="L2" s="393"/>
      <c r="M2" s="393"/>
      <c r="N2" s="393"/>
      <c r="O2" s="393"/>
      <c r="P2" s="394"/>
    </row>
    <row r="5" spans="2:17" x14ac:dyDescent="0.25">
      <c r="B5" s="229" t="s">
        <v>1033</v>
      </c>
      <c r="C5" s="416"/>
      <c r="D5" s="416"/>
      <c r="E5" s="416"/>
      <c r="F5" s="416"/>
      <c r="G5" s="416"/>
      <c r="H5" s="416"/>
      <c r="I5" s="416"/>
      <c r="J5" s="416"/>
      <c r="K5" s="416"/>
      <c r="L5" s="416"/>
      <c r="M5" s="416"/>
      <c r="N5" s="416"/>
      <c r="O5" s="416"/>
      <c r="P5" s="230"/>
    </row>
    <row r="6" spans="2:17" x14ac:dyDescent="0.25">
      <c r="B6" s="232" t="s">
        <v>1034</v>
      </c>
      <c r="C6" s="231"/>
      <c r="D6" s="231"/>
      <c r="E6" s="231"/>
      <c r="F6" s="231"/>
      <c r="G6" s="231"/>
      <c r="H6" s="231"/>
      <c r="I6" s="231"/>
      <c r="J6" s="231"/>
      <c r="K6" s="231"/>
      <c r="L6" s="231"/>
      <c r="M6" s="231"/>
      <c r="N6" s="231"/>
      <c r="O6" s="231"/>
      <c r="P6" s="233"/>
    </row>
    <row r="8" spans="2:17" x14ac:dyDescent="0.25">
      <c r="N8" s="481"/>
      <c r="O8" s="481"/>
      <c r="P8" s="481"/>
    </row>
    <row r="9" spans="2:17" x14ac:dyDescent="0.25">
      <c r="B9" s="229"/>
      <c r="C9" s="416"/>
      <c r="D9" s="416"/>
      <c r="E9" s="416"/>
      <c r="F9" s="416"/>
      <c r="G9" s="416"/>
      <c r="H9" s="230"/>
      <c r="J9" s="229"/>
      <c r="K9" s="416"/>
      <c r="L9" s="416"/>
      <c r="M9" s="416"/>
      <c r="N9" s="227"/>
      <c r="O9" s="227"/>
      <c r="P9" s="227"/>
      <c r="Q9" s="160"/>
    </row>
    <row r="10" spans="2:17" ht="47.25" x14ac:dyDescent="0.25">
      <c r="B10" s="234"/>
      <c r="C10" s="380" t="s">
        <v>11</v>
      </c>
      <c r="D10" s="484"/>
      <c r="E10" s="380" t="s">
        <v>12</v>
      </c>
      <c r="F10" s="484"/>
      <c r="G10" s="480" t="s">
        <v>13</v>
      </c>
      <c r="H10" s="485"/>
      <c r="I10" s="381"/>
      <c r="J10" s="488"/>
      <c r="K10" s="382" t="s">
        <v>14</v>
      </c>
      <c r="L10" s="488"/>
      <c r="M10" s="382" t="s">
        <v>15</v>
      </c>
      <c r="N10" s="484"/>
      <c r="O10" s="382" t="s">
        <v>16</v>
      </c>
      <c r="P10" s="484"/>
      <c r="Q10" s="160"/>
    </row>
    <row r="11" spans="2:17" x14ac:dyDescent="0.25">
      <c r="B11" s="234"/>
      <c r="C11" s="227"/>
      <c r="D11" s="227"/>
      <c r="E11" s="227"/>
      <c r="F11" s="227"/>
      <c r="G11" s="227"/>
      <c r="H11" s="235"/>
      <c r="J11" s="234"/>
      <c r="K11" s="227"/>
      <c r="L11" s="227"/>
      <c r="M11" s="227"/>
      <c r="N11" s="227"/>
      <c r="O11" s="227"/>
      <c r="P11" s="227"/>
      <c r="Q11" s="160"/>
    </row>
    <row r="12" spans="2:17" ht="39.950000000000003" customHeight="1" x14ac:dyDescent="0.25">
      <c r="B12" s="234"/>
      <c r="C12" s="376"/>
      <c r="D12" s="662" t="s">
        <v>17</v>
      </c>
      <c r="E12" s="376"/>
      <c r="F12" s="227"/>
      <c r="G12" s="376" t="s">
        <v>1035</v>
      </c>
      <c r="H12" s="235"/>
      <c r="J12" s="234"/>
      <c r="K12" s="482"/>
      <c r="L12" s="198"/>
      <c r="M12" s="663" t="s">
        <v>18</v>
      </c>
      <c r="N12" s="198"/>
      <c r="O12" s="483"/>
      <c r="P12" s="227"/>
      <c r="Q12" s="160"/>
    </row>
    <row r="13" spans="2:17" x14ac:dyDescent="0.25">
      <c r="B13" s="234"/>
      <c r="C13" s="227"/>
      <c r="D13" s="227"/>
      <c r="E13" s="227"/>
      <c r="F13" s="227"/>
      <c r="G13" s="227"/>
      <c r="H13" s="235"/>
      <c r="J13" s="234"/>
      <c r="K13" s="227"/>
      <c r="L13" s="227"/>
      <c r="M13" s="227"/>
      <c r="N13" s="227"/>
      <c r="O13" s="227"/>
      <c r="P13" s="227"/>
      <c r="Q13" s="160"/>
    </row>
    <row r="14" spans="2:17" ht="222.75" customHeight="1" x14ac:dyDescent="0.25">
      <c r="B14" s="234"/>
      <c r="C14" s="377" t="s">
        <v>19</v>
      </c>
      <c r="D14" s="486"/>
      <c r="E14" s="378" t="s">
        <v>20</v>
      </c>
      <c r="F14" s="486"/>
      <c r="G14" s="376" t="s">
        <v>21</v>
      </c>
      <c r="H14" s="487"/>
      <c r="I14" s="245"/>
      <c r="J14" s="489"/>
      <c r="K14" s="379" t="s">
        <v>22</v>
      </c>
      <c r="L14" s="489"/>
      <c r="M14" s="420" t="s">
        <v>23</v>
      </c>
      <c r="N14" s="486"/>
      <c r="O14" s="420" t="s">
        <v>24</v>
      </c>
      <c r="P14" s="486"/>
      <c r="Q14" s="160"/>
    </row>
    <row r="15" spans="2:17" x14ac:dyDescent="0.25">
      <c r="B15" s="232"/>
      <c r="C15" s="231"/>
      <c r="D15" s="231"/>
      <c r="E15" s="231"/>
      <c r="F15" s="231"/>
      <c r="G15" s="231"/>
      <c r="H15" s="233"/>
      <c r="J15" s="232"/>
      <c r="K15" s="231"/>
      <c r="L15" s="490"/>
      <c r="M15" s="490"/>
      <c r="N15" s="490"/>
      <c r="O15" s="490"/>
      <c r="P15" s="490"/>
      <c r="Q15" s="160"/>
    </row>
    <row r="18" spans="2:16" x14ac:dyDescent="0.25">
      <c r="B18" s="229"/>
      <c r="C18" s="416"/>
      <c r="D18" s="416"/>
      <c r="E18" s="416"/>
      <c r="F18" s="416"/>
      <c r="G18" s="416"/>
      <c r="H18" s="416"/>
      <c r="I18" s="416"/>
      <c r="J18" s="416"/>
      <c r="K18" s="416"/>
      <c r="L18" s="416"/>
      <c r="M18" s="416"/>
      <c r="N18" s="416"/>
      <c r="O18" s="416"/>
      <c r="P18" s="230"/>
    </row>
    <row r="19" spans="2:16" x14ac:dyDescent="0.25">
      <c r="B19" s="234" t="s">
        <v>25</v>
      </c>
      <c r="C19" s="227"/>
      <c r="D19" s="227"/>
      <c r="E19" s="227"/>
      <c r="F19" s="227"/>
      <c r="G19" s="227"/>
      <c r="H19" s="227"/>
      <c r="I19" s="227"/>
      <c r="J19" s="227"/>
      <c r="K19" s="227"/>
      <c r="L19" s="227"/>
      <c r="M19" s="227"/>
      <c r="N19" s="227"/>
      <c r="O19" s="227"/>
      <c r="P19" s="235"/>
    </row>
    <row r="20" spans="2:16" x14ac:dyDescent="0.25">
      <c r="B20" s="491" t="s">
        <v>26</v>
      </c>
      <c r="C20" s="227"/>
      <c r="D20" s="227"/>
      <c r="E20" s="227"/>
      <c r="F20" s="227"/>
      <c r="G20" s="227"/>
      <c r="H20" s="227"/>
      <c r="I20" s="227"/>
      <c r="J20" s="227"/>
      <c r="K20" s="227"/>
      <c r="L20" s="227"/>
      <c r="M20" s="227"/>
      <c r="N20" s="227"/>
      <c r="O20" s="227"/>
      <c r="P20" s="235"/>
    </row>
    <row r="21" spans="2:16" x14ac:dyDescent="0.25">
      <c r="B21" s="492" t="s">
        <v>27</v>
      </c>
      <c r="C21" s="227"/>
      <c r="D21" s="227"/>
      <c r="E21" s="227"/>
      <c r="F21" s="227"/>
      <c r="G21" s="227"/>
      <c r="H21" s="227"/>
      <c r="I21" s="227"/>
      <c r="J21" s="227"/>
      <c r="K21" s="227"/>
      <c r="L21" s="227"/>
      <c r="M21" s="227"/>
      <c r="N21" s="227"/>
      <c r="O21" s="227"/>
      <c r="P21" s="235"/>
    </row>
    <row r="22" spans="2:16" x14ac:dyDescent="0.25">
      <c r="B22" s="493" t="s">
        <v>28</v>
      </c>
      <c r="C22" s="227"/>
      <c r="D22" s="227"/>
      <c r="E22" s="227"/>
      <c r="F22" s="227"/>
      <c r="G22" s="227"/>
      <c r="H22" s="227"/>
      <c r="I22" s="227"/>
      <c r="J22" s="227"/>
      <c r="K22" s="227"/>
      <c r="L22" s="227"/>
      <c r="M22" s="227"/>
      <c r="N22" s="227"/>
      <c r="O22" s="227"/>
      <c r="P22" s="235"/>
    </row>
    <row r="23" spans="2:16" x14ac:dyDescent="0.25">
      <c r="B23" s="492" t="s">
        <v>29</v>
      </c>
      <c r="C23" s="227"/>
      <c r="D23" s="227"/>
      <c r="E23" s="227"/>
      <c r="F23" s="227"/>
      <c r="G23" s="227"/>
      <c r="H23" s="227"/>
      <c r="I23" s="227"/>
      <c r="J23" s="227"/>
      <c r="K23" s="227"/>
      <c r="L23" s="227"/>
      <c r="M23" s="227"/>
      <c r="N23" s="227"/>
      <c r="O23" s="227"/>
      <c r="P23" s="235"/>
    </row>
    <row r="24" spans="2:16" x14ac:dyDescent="0.25">
      <c r="B24" s="492" t="s">
        <v>30</v>
      </c>
      <c r="C24" s="227"/>
      <c r="D24" s="227"/>
      <c r="E24" s="227"/>
      <c r="F24" s="227"/>
      <c r="G24" s="227"/>
      <c r="H24" s="227"/>
      <c r="I24" s="227"/>
      <c r="J24" s="227"/>
      <c r="K24" s="227"/>
      <c r="L24" s="227"/>
      <c r="M24" s="227"/>
      <c r="N24" s="227"/>
      <c r="O24" s="227"/>
      <c r="P24" s="235"/>
    </row>
    <row r="25" spans="2:16" x14ac:dyDescent="0.25">
      <c r="B25" s="234"/>
      <c r="C25" s="227"/>
      <c r="D25" s="227"/>
      <c r="E25" s="227"/>
      <c r="F25" s="227"/>
      <c r="G25" s="227"/>
      <c r="H25" s="227"/>
      <c r="I25" s="227"/>
      <c r="J25" s="227"/>
      <c r="K25" s="227"/>
      <c r="L25" s="227"/>
      <c r="M25" s="227"/>
      <c r="N25" s="227"/>
      <c r="O25" s="227"/>
      <c r="P25" s="235"/>
    </row>
    <row r="26" spans="2:16" x14ac:dyDescent="0.25">
      <c r="B26" s="494" t="s">
        <v>31</v>
      </c>
      <c r="C26" s="227"/>
      <c r="D26" s="227"/>
      <c r="E26" s="227"/>
      <c r="F26" s="227"/>
      <c r="G26" s="227"/>
      <c r="H26" s="227"/>
      <c r="I26" s="227"/>
      <c r="J26" s="227"/>
      <c r="K26" s="227"/>
      <c r="L26" s="227"/>
      <c r="M26" s="227"/>
      <c r="N26" s="227"/>
      <c r="O26" s="227"/>
      <c r="P26" s="235"/>
    </row>
    <row r="27" spans="2:16" x14ac:dyDescent="0.25">
      <c r="B27" s="232"/>
      <c r="C27" s="231"/>
      <c r="D27" s="231"/>
      <c r="E27" s="231"/>
      <c r="F27" s="231"/>
      <c r="G27" s="231"/>
      <c r="H27" s="231"/>
      <c r="I27" s="231"/>
      <c r="J27" s="231"/>
      <c r="K27" s="231"/>
      <c r="L27" s="231"/>
      <c r="M27" s="231"/>
      <c r="N27" s="231"/>
      <c r="O27" s="231"/>
      <c r="P27" s="233"/>
    </row>
  </sheetData>
  <sheetProtection algorithmName="SHA-512" hashValue="tBKaRd2wV51hUYg4itBHEX7ZH9Bh9PHMvbnOv/qKm+FRKLHilIf6zESV3Qyccb/sOWMwO/zgtr6xYPUilZ7ydA==" saltValue="KaeVhPmlkLbXKhcckR9O5g==" spinCount="100000" sheet="1"/>
  <pageMargins left="0.7" right="0.7" top="0.75" bottom="0.75" header="0.3" footer="0.3"/>
  <pageSetup paperSize="9" scale="47"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J1" zoomScale="55" zoomScaleNormal="55" workbookViewId="0">
      <selection activeCell="S9" sqref="S9"/>
    </sheetView>
  </sheetViews>
  <sheetFormatPr defaultColWidth="9.140625" defaultRowHeight="14.25" x14ac:dyDescent="0.2"/>
  <cols>
    <col min="1" max="1" width="24.425781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5.140625" style="12" customWidth="1"/>
    <col min="18" max="18" width="20.140625" style="12" customWidth="1"/>
    <col min="19" max="42" width="10.85546875" style="12" customWidth="1"/>
    <col min="43" max="50" width="10.85546875" style="13" customWidth="1"/>
    <col min="51" max="106" width="10.85546875" style="1" customWidth="1"/>
    <col min="107" max="193" width="10.85546875" style="11" customWidth="1"/>
    <col min="194" max="194" width="10.42578125" style="11" customWidth="1"/>
    <col min="195" max="16384" width="9.140625" style="11"/>
  </cols>
  <sheetData>
    <row r="1" spans="2:106" ht="15" x14ac:dyDescent="0.25">
      <c r="B1" s="9" t="s">
        <v>194</v>
      </c>
      <c r="C1" s="102"/>
      <c r="D1" s="22"/>
      <c r="E1" s="10" t="s">
        <v>195</v>
      </c>
      <c r="F1" s="7"/>
      <c r="G1" s="7"/>
    </row>
    <row r="3" spans="2:106" x14ac:dyDescent="0.2">
      <c r="B3" s="92" t="s">
        <v>196</v>
      </c>
      <c r="C3" s="578"/>
      <c r="D3" s="579"/>
      <c r="E3" s="579"/>
      <c r="F3" s="579"/>
      <c r="G3" s="93"/>
    </row>
    <row r="4" spans="2:106" ht="15" x14ac:dyDescent="0.25">
      <c r="B4" s="94"/>
      <c r="C4" s="95"/>
      <c r="D4" s="7"/>
      <c r="E4" s="7"/>
      <c r="F4" s="7"/>
      <c r="G4" s="96"/>
      <c r="L4" s="9" t="s">
        <v>197</v>
      </c>
      <c r="M4" s="9" t="s">
        <v>197</v>
      </c>
      <c r="N4" s="9" t="s">
        <v>198</v>
      </c>
      <c r="O4" s="9" t="s">
        <v>198</v>
      </c>
      <c r="P4" s="9" t="s">
        <v>199</v>
      </c>
      <c r="R4" s="169" t="s">
        <v>200</v>
      </c>
      <c r="S4" s="169" t="s">
        <v>109</v>
      </c>
      <c r="T4" s="169" t="s">
        <v>201</v>
      </c>
      <c r="V4" s="169" t="s">
        <v>202</v>
      </c>
    </row>
    <row r="5" spans="2:106" ht="28.5" x14ac:dyDescent="0.2">
      <c r="B5" s="97" t="s">
        <v>203</v>
      </c>
      <c r="C5" s="95"/>
      <c r="D5" s="7"/>
      <c r="E5" s="7"/>
      <c r="F5" s="7"/>
      <c r="G5" s="96"/>
      <c r="L5" s="16" t="s">
        <v>204</v>
      </c>
      <c r="M5" s="16" t="s">
        <v>205</v>
      </c>
      <c r="N5" s="16" t="s">
        <v>206</v>
      </c>
      <c r="O5" s="16" t="s">
        <v>207</v>
      </c>
      <c r="P5" s="19"/>
      <c r="Q5" s="17"/>
      <c r="R5" s="16" t="s">
        <v>207</v>
      </c>
      <c r="S5" s="138" t="s">
        <v>157</v>
      </c>
      <c r="V5" s="139">
        <v>4</v>
      </c>
    </row>
    <row r="6" spans="2:106" ht="15" x14ac:dyDescent="0.25">
      <c r="B6" s="97" t="s">
        <v>208</v>
      </c>
      <c r="C6" s="95"/>
      <c r="D6" s="7"/>
      <c r="E6" s="7"/>
      <c r="F6" s="7"/>
      <c r="G6" s="96"/>
      <c r="J6" s="134"/>
      <c r="L6" s="21" t="s">
        <v>950</v>
      </c>
      <c r="M6" s="21" t="s">
        <v>209</v>
      </c>
      <c r="N6" s="21" t="str">
        <f>'Inputs and eligible population'!$E$11</f>
        <v>National</v>
      </c>
      <c r="O6" s="21" t="str">
        <f>IFERROR(VLOOKUP('Inputs and eligible population'!$E$11, $L$5:$M$14, 2, FALSE), "-")</f>
        <v>NATIONAL</v>
      </c>
      <c r="P6" s="16" t="b">
        <f>ISTEXT('Inputs and eligible population'!$E$12)</f>
        <v>1</v>
      </c>
      <c r="R6" s="192" t="s">
        <v>43</v>
      </c>
      <c r="S6" s="138" t="s">
        <v>158</v>
      </c>
      <c r="V6" s="139">
        <v>5</v>
      </c>
    </row>
    <row r="7" spans="2:106" x14ac:dyDescent="0.2">
      <c r="B7" s="94"/>
      <c r="C7" s="95"/>
      <c r="D7" s="7"/>
      <c r="E7" s="7"/>
      <c r="F7" s="7"/>
      <c r="G7" s="96"/>
      <c r="L7" s="21" t="s">
        <v>39</v>
      </c>
      <c r="M7" s="21" t="s">
        <v>210</v>
      </c>
      <c r="N7" s="21" t="str">
        <f>'Inputs and eligible population'!$E$11</f>
        <v>National</v>
      </c>
      <c r="O7" s="21" t="str">
        <f>IFERROR(VLOOKUP('Inputs and eligible population'!$E$11, $L$5:$M$14, 2, FALSE), "-")</f>
        <v>NATIONAL</v>
      </c>
      <c r="P7" s="16" t="b">
        <f>ISTEXT('Inputs and eligible population'!$E$12)</f>
        <v>1</v>
      </c>
      <c r="R7" s="192" t="s">
        <v>211</v>
      </c>
      <c r="S7" s="415"/>
      <c r="V7" s="139">
        <v>6</v>
      </c>
    </row>
    <row r="8" spans="2:106" ht="19.5" customHeight="1" x14ac:dyDescent="0.2">
      <c r="B8" s="98" t="s">
        <v>212</v>
      </c>
      <c r="C8" s="99"/>
      <c r="D8" s="100"/>
      <c r="E8" s="100"/>
      <c r="F8" s="100"/>
      <c r="G8" s="101"/>
      <c r="L8" s="21" t="s">
        <v>213</v>
      </c>
      <c r="M8" s="21" t="s">
        <v>214</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2">
      <c r="B9" s="14"/>
      <c r="L9" s="21" t="s">
        <v>215</v>
      </c>
      <c r="M9" s="21" t="s">
        <v>216</v>
      </c>
      <c r="N9" s="21" t="str">
        <f>'Inputs and eligible population'!$E$11</f>
        <v>National</v>
      </c>
      <c r="O9" s="21" t="str">
        <f>IFERROR(VLOOKUP('Inputs and eligible population'!$E$11, $L$5:$M$14, 2, FALSE), "-")</f>
        <v>NATIONAL</v>
      </c>
      <c r="P9" s="16" t="b">
        <f>ISTEXT('Inputs and eligible population'!$E$12)</f>
        <v>1</v>
      </c>
      <c r="V9" s="139" t="s">
        <v>217</v>
      </c>
    </row>
    <row r="10" spans="2:106" x14ac:dyDescent="0.2">
      <c r="B10" s="14"/>
      <c r="K10" s="24"/>
      <c r="L10" s="21" t="s">
        <v>218</v>
      </c>
      <c r="M10" s="21" t="s">
        <v>219</v>
      </c>
      <c r="N10" s="21" t="str">
        <f>'Inputs and eligible population'!$E$11</f>
        <v>National</v>
      </c>
      <c r="O10" s="21" t="str">
        <f>IFERROR(VLOOKUP('Inputs and eligible population'!$E$11, $L$5:$M$14, 2, FALSE), "-")</f>
        <v>NATIONAL</v>
      </c>
      <c r="P10" s="16" t="b">
        <f>ISTEXT('Inputs and eligible population'!$E$12)</f>
        <v>1</v>
      </c>
      <c r="V10" s="139" t="s">
        <v>220</v>
      </c>
    </row>
    <row r="11" spans="2:106" ht="15" x14ac:dyDescent="0.25">
      <c r="B11" s="9" t="s">
        <v>221</v>
      </c>
      <c r="C11" s="24"/>
      <c r="D11" s="24"/>
      <c r="E11" s="24"/>
      <c r="K11" s="24"/>
      <c r="L11" s="111" t="s">
        <v>222</v>
      </c>
      <c r="M11" s="21" t="s">
        <v>223</v>
      </c>
      <c r="N11" s="21" t="str">
        <f>'Inputs and eligible population'!$E$11</f>
        <v>National</v>
      </c>
      <c r="O11" s="21" t="str">
        <f>IFERROR(VLOOKUP('Inputs and eligible population'!$E$11, $L$5:$M$14, 2, FALSE), "-")</f>
        <v>NATIONAL</v>
      </c>
      <c r="P11" s="16" t="b">
        <f>ISTEXT('Inputs and eligible population'!$E$12)</f>
        <v>1</v>
      </c>
      <c r="V11" s="139" t="s">
        <v>224</v>
      </c>
    </row>
    <row r="12" spans="2:106" ht="43.5" customHeight="1" x14ac:dyDescent="0.2">
      <c r="B12" s="15"/>
      <c r="D12" s="203" t="s">
        <v>225</v>
      </c>
      <c r="E12" s="203" t="s">
        <v>225</v>
      </c>
      <c r="L12" s="21" t="s">
        <v>226</v>
      </c>
      <c r="M12" s="21" t="s">
        <v>227</v>
      </c>
      <c r="N12" s="21" t="str">
        <f>'Inputs and eligible population'!$E$11</f>
        <v>National</v>
      </c>
      <c r="O12" s="21" t="str">
        <f>IFERROR(VLOOKUP('Inputs and eligible population'!$E$11, $L$5:$M$14, 2, FALSE), "-")</f>
        <v>NATIONAL</v>
      </c>
      <c r="P12" s="16" t="b">
        <f>ISTEXT('Inputs and eligible population'!$E$12)</f>
        <v>1</v>
      </c>
      <c r="V12" s="139" t="s">
        <v>228</v>
      </c>
    </row>
    <row r="13" spans="2:106" s="19" customFormat="1" ht="45.95" customHeight="1" x14ac:dyDescent="0.2">
      <c r="B13" s="204" t="s">
        <v>40</v>
      </c>
      <c r="C13" s="204" t="s">
        <v>229</v>
      </c>
      <c r="D13" s="26" t="s">
        <v>230</v>
      </c>
      <c r="E13" s="26" t="s">
        <v>231</v>
      </c>
      <c r="F13" s="204" t="s">
        <v>232</v>
      </c>
      <c r="G13" s="11"/>
      <c r="H13" s="11"/>
      <c r="I13" s="11"/>
      <c r="K13" s="11"/>
      <c r="L13" s="21" t="s">
        <v>233</v>
      </c>
      <c r="M13" s="21" t="s">
        <v>234</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427">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205"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235</v>
      </c>
      <c r="M14" s="21" t="s">
        <v>236</v>
      </c>
      <c r="N14" s="21" t="str">
        <f>'Inputs and eligible population'!$E$11</f>
        <v>National</v>
      </c>
      <c r="O14" s="21" t="str">
        <f>IFERROR(VLOOKUP('Inputs and eligible population'!$E$11, $L$5:$M$14, 2, FALSE), "-")</f>
        <v>NATIONAL</v>
      </c>
      <c r="P14" s="16" t="b">
        <f>ISTEXT('Inputs and eligible population'!$E$12)</f>
        <v>1</v>
      </c>
      <c r="V14" s="139" t="s">
        <v>237</v>
      </c>
    </row>
    <row r="15" spans="2:106" x14ac:dyDescent="0.2">
      <c r="B15" s="205"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238</v>
      </c>
    </row>
    <row r="16" spans="2:106" ht="15" x14ac:dyDescent="0.25">
      <c r="B16" s="206" t="s">
        <v>239</v>
      </c>
      <c r="C16" s="207">
        <f>IF(C15&gt;0,C14,C15)</f>
        <v>57106398</v>
      </c>
      <c r="D16" s="207">
        <f>IF(D15&gt;0,D14,D15)</f>
        <v>21895402</v>
      </c>
      <c r="E16" s="207">
        <f>IF(E15&gt;0,E14,E15)</f>
        <v>23324090</v>
      </c>
      <c r="F16" s="207">
        <f>SUM(F15)</f>
        <v>45219492</v>
      </c>
      <c r="L16" s="22"/>
      <c r="M16" s="22"/>
      <c r="P16" s="413">
        <f>COUNTIF(P6:P14, TRUE)</f>
        <v>9</v>
      </c>
    </row>
    <row r="17" spans="1:194" ht="15" x14ac:dyDescent="0.25">
      <c r="Q17" s="23"/>
      <c r="R17" s="23"/>
    </row>
    <row r="18" spans="1:194" ht="45.6" customHeight="1" x14ac:dyDescent="0.2">
      <c r="B18" s="90"/>
      <c r="C18" s="143"/>
      <c r="D18" s="26" t="s">
        <v>225</v>
      </c>
      <c r="E18" s="26" t="s">
        <v>225</v>
      </c>
      <c r="F18" s="90"/>
      <c r="I18" s="90"/>
      <c r="J18" s="90"/>
      <c r="K18" s="24"/>
      <c r="N18" s="24"/>
    </row>
    <row r="19" spans="1:194" ht="23.1" customHeight="1" x14ac:dyDescent="0.25">
      <c r="D19" s="208">
        <v>2</v>
      </c>
      <c r="E19" s="208">
        <v>3</v>
      </c>
      <c r="F19" s="208">
        <v>4</v>
      </c>
      <c r="G19" s="208">
        <v>5</v>
      </c>
      <c r="H19" s="208">
        <v>6</v>
      </c>
      <c r="K19" s="24"/>
    </row>
    <row r="20" spans="1:194" s="1" customFormat="1" ht="48" customHeight="1" x14ac:dyDescent="0.25">
      <c r="A20" s="124" t="s">
        <v>206</v>
      </c>
      <c r="B20" s="123" t="s">
        <v>240</v>
      </c>
      <c r="C20" s="123" t="s">
        <v>241</v>
      </c>
      <c r="D20" s="82" t="s">
        <v>242</v>
      </c>
      <c r="E20" s="82" t="s">
        <v>242</v>
      </c>
      <c r="F20" s="82" t="s">
        <v>243</v>
      </c>
      <c r="G20" s="82" t="s">
        <v>243</v>
      </c>
      <c r="H20" s="82" t="s">
        <v>243</v>
      </c>
      <c r="I20" s="123" t="s">
        <v>242</v>
      </c>
      <c r="J20" s="123" t="s">
        <v>242</v>
      </c>
      <c r="K20" s="123" t="s">
        <v>244</v>
      </c>
      <c r="L20" s="123" t="s">
        <v>244</v>
      </c>
      <c r="M20" s="125" t="s">
        <v>245</v>
      </c>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0"/>
      <c r="AZ20" s="580"/>
      <c r="BA20" s="580"/>
      <c r="BB20" s="580"/>
      <c r="BC20" s="580"/>
      <c r="BD20" s="580"/>
      <c r="BE20" s="580"/>
      <c r="BF20" s="580"/>
      <c r="BG20" s="580"/>
      <c r="BH20" s="580"/>
      <c r="BI20" s="580"/>
      <c r="BJ20" s="580"/>
      <c r="BK20" s="580"/>
      <c r="BL20" s="580"/>
      <c r="BM20" s="580"/>
      <c r="BN20" s="580"/>
      <c r="BO20" s="580"/>
      <c r="BP20" s="580"/>
      <c r="BQ20" s="580"/>
      <c r="BR20" s="580"/>
      <c r="BS20" s="580"/>
      <c r="BT20" s="580"/>
      <c r="BU20" s="580"/>
      <c r="BV20" s="580"/>
      <c r="BW20" s="580"/>
      <c r="BX20" s="580"/>
      <c r="BY20" s="580"/>
      <c r="BZ20" s="580"/>
      <c r="CA20" s="580"/>
      <c r="CB20" s="580"/>
      <c r="CC20" s="580"/>
      <c r="CD20" s="580"/>
      <c r="CE20" s="580"/>
      <c r="CF20" s="580"/>
      <c r="CG20" s="580"/>
      <c r="CH20" s="580"/>
      <c r="CI20" s="580"/>
      <c r="CJ20" s="580"/>
      <c r="CK20" s="580"/>
      <c r="CL20" s="580"/>
      <c r="CM20" s="580"/>
      <c r="CN20" s="580"/>
      <c r="CO20" s="580"/>
      <c r="CP20" s="580"/>
      <c r="CQ20" s="580"/>
      <c r="CR20" s="580"/>
      <c r="CS20" s="580"/>
      <c r="CT20" s="580"/>
      <c r="CU20" s="580"/>
      <c r="CV20" s="580"/>
      <c r="CW20" s="580"/>
      <c r="CX20" s="580"/>
      <c r="CY20" s="126"/>
      <c r="CZ20" s="581" t="s">
        <v>246</v>
      </c>
      <c r="DA20" s="581"/>
      <c r="DB20" s="581"/>
      <c r="DC20" s="581"/>
      <c r="DD20" s="581"/>
      <c r="DE20" s="581"/>
      <c r="DF20" s="581"/>
      <c r="DG20" s="581"/>
      <c r="DH20" s="581"/>
      <c r="DI20" s="581"/>
      <c r="DJ20" s="581"/>
      <c r="DK20" s="581"/>
      <c r="DL20" s="581"/>
      <c r="DM20" s="581"/>
      <c r="DN20" s="581"/>
      <c r="DO20" s="581"/>
      <c r="DP20" s="581"/>
      <c r="DQ20" s="581"/>
      <c r="DR20" s="581"/>
      <c r="DS20" s="581"/>
      <c r="DT20" s="581"/>
      <c r="DU20" s="581"/>
      <c r="DV20" s="581"/>
      <c r="DW20" s="581"/>
      <c r="DX20" s="581"/>
      <c r="DY20" s="581"/>
      <c r="DZ20" s="581"/>
      <c r="EA20" s="581"/>
      <c r="EB20" s="581"/>
      <c r="EC20" s="581"/>
      <c r="ED20" s="581"/>
      <c r="EE20" s="581"/>
      <c r="EF20" s="581"/>
      <c r="EG20" s="581"/>
      <c r="EH20" s="581"/>
      <c r="EI20" s="581"/>
      <c r="EJ20" s="581"/>
      <c r="EK20" s="581"/>
      <c r="EL20" s="581"/>
      <c r="EM20" s="581"/>
      <c r="EN20" s="581"/>
      <c r="EO20" s="581"/>
      <c r="EP20" s="581"/>
      <c r="EQ20" s="581"/>
      <c r="ER20" s="581"/>
      <c r="ES20" s="581"/>
      <c r="ET20" s="581"/>
      <c r="EU20" s="581"/>
      <c r="EV20" s="581"/>
      <c r="EW20" s="581"/>
      <c r="EX20" s="581"/>
      <c r="EY20" s="581"/>
      <c r="EZ20" s="581"/>
      <c r="FA20" s="581"/>
      <c r="FB20" s="581"/>
      <c r="FC20" s="581"/>
      <c r="FD20" s="581"/>
      <c r="FE20" s="581"/>
      <c r="FF20" s="581"/>
      <c r="FG20" s="581"/>
      <c r="FH20" s="581"/>
      <c r="FI20" s="581"/>
      <c r="FJ20" s="581"/>
      <c r="FK20" s="581"/>
      <c r="FL20" s="581"/>
      <c r="FM20" s="581"/>
      <c r="FN20" s="581"/>
      <c r="FO20" s="581"/>
      <c r="FP20" s="581"/>
      <c r="FQ20" s="581"/>
      <c r="FR20" s="581"/>
      <c r="FS20" s="581"/>
      <c r="FT20" s="581"/>
      <c r="FU20" s="581"/>
      <c r="FV20" s="581"/>
      <c r="FW20" s="581"/>
      <c r="FX20" s="581"/>
      <c r="FY20" s="581"/>
      <c r="FZ20" s="581"/>
      <c r="GA20" s="581"/>
      <c r="GB20" s="581"/>
      <c r="GC20" s="581"/>
      <c r="GD20" s="581"/>
      <c r="GE20" s="581"/>
      <c r="GF20" s="581"/>
      <c r="GG20" s="581"/>
      <c r="GH20" s="581"/>
      <c r="GI20" s="581"/>
      <c r="GJ20" s="581"/>
      <c r="GK20" s="581"/>
      <c r="GL20" s="122"/>
    </row>
    <row r="21" spans="1:194" s="8" customFormat="1" ht="30" x14ac:dyDescent="0.25">
      <c r="A21" s="124"/>
      <c r="B21" s="123"/>
      <c r="C21" s="123"/>
      <c r="D21" s="25" t="s">
        <v>230</v>
      </c>
      <c r="E21" s="26" t="s">
        <v>231</v>
      </c>
      <c r="F21" s="82" t="s">
        <v>247</v>
      </c>
      <c r="G21" s="81" t="s">
        <v>245</v>
      </c>
      <c r="H21" s="81" t="s">
        <v>246</v>
      </c>
      <c r="I21" s="82" t="s">
        <v>245</v>
      </c>
      <c r="J21" s="81" t="s">
        <v>246</v>
      </c>
      <c r="K21" s="82" t="s">
        <v>245</v>
      </c>
      <c r="L21" s="27" t="s">
        <v>246</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248</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248</v>
      </c>
    </row>
    <row r="22" spans="1:194" s="1" customFormat="1" x14ac:dyDescent="0.2">
      <c r="A22" s="30"/>
      <c r="B22" s="72"/>
      <c r="C22" s="60"/>
      <c r="D22" s="78"/>
      <c r="E22" s="78"/>
      <c r="F22" s="582"/>
      <c r="G22" s="582"/>
      <c r="H22" s="78"/>
      <c r="I22" s="78"/>
      <c r="J22" s="78"/>
      <c r="K22" s="582"/>
      <c r="L22" s="78"/>
      <c r="M22" s="582"/>
      <c r="N22" s="582"/>
      <c r="O22" s="582"/>
      <c r="P22" s="582"/>
      <c r="Q22" s="582"/>
      <c r="R22" s="582"/>
      <c r="S22" s="582"/>
      <c r="T22" s="582"/>
      <c r="U22" s="582"/>
      <c r="V22" s="582"/>
      <c r="W22" s="582"/>
      <c r="X22" s="582"/>
      <c r="Y22" s="582"/>
      <c r="Z22" s="582"/>
      <c r="AA22" s="582"/>
      <c r="AB22" s="582"/>
      <c r="AC22" s="582"/>
      <c r="AD22" s="582"/>
      <c r="AE22" s="582"/>
      <c r="AF22" s="582"/>
      <c r="AG22" s="582"/>
      <c r="AH22" s="582"/>
      <c r="AI22" s="582"/>
      <c r="AJ22" s="582"/>
      <c r="AK22" s="582"/>
      <c r="AL22" s="582"/>
      <c r="AM22" s="582"/>
      <c r="AN22" s="582"/>
      <c r="AO22" s="582"/>
      <c r="AP22" s="582"/>
      <c r="AQ22" s="582"/>
      <c r="AR22" s="582"/>
      <c r="AS22" s="582"/>
      <c r="AT22" s="582"/>
      <c r="AU22" s="582"/>
      <c r="AV22" s="582"/>
      <c r="AW22" s="582"/>
      <c r="AX22" s="582"/>
      <c r="AY22" s="582"/>
      <c r="AZ22" s="582"/>
      <c r="BA22" s="582"/>
      <c r="BB22" s="582"/>
      <c r="BC22" s="582"/>
      <c r="BD22" s="582"/>
      <c r="BE22" s="582"/>
      <c r="BF22" s="582"/>
      <c r="BG22" s="582"/>
      <c r="BH22" s="582"/>
      <c r="BI22" s="582"/>
      <c r="BJ22" s="582"/>
      <c r="BK22" s="582"/>
      <c r="BL22" s="582"/>
      <c r="BM22" s="582"/>
      <c r="BN22" s="582"/>
      <c r="BO22" s="582"/>
      <c r="BP22" s="582"/>
      <c r="BQ22" s="582"/>
      <c r="BR22" s="582"/>
      <c r="BS22" s="582"/>
      <c r="BT22" s="582"/>
      <c r="BU22" s="582"/>
      <c r="BV22" s="582"/>
      <c r="BW22" s="582"/>
      <c r="BX22" s="582"/>
      <c r="BY22" s="582"/>
      <c r="BZ22" s="582"/>
      <c r="CA22" s="582"/>
      <c r="CB22" s="582"/>
      <c r="CC22" s="582"/>
      <c r="CD22" s="582"/>
      <c r="CE22" s="582"/>
      <c r="CF22" s="582"/>
      <c r="CG22" s="582"/>
      <c r="CH22" s="582"/>
      <c r="CI22" s="582"/>
      <c r="CJ22" s="582"/>
      <c r="CK22" s="582"/>
      <c r="CL22" s="582"/>
      <c r="CM22" s="582"/>
      <c r="CN22" s="582"/>
      <c r="CO22" s="582"/>
      <c r="CP22" s="582"/>
      <c r="CQ22" s="582"/>
      <c r="CR22" s="582"/>
      <c r="CS22" s="582"/>
      <c r="CT22" s="582"/>
      <c r="CU22" s="582"/>
      <c r="CV22" s="582"/>
      <c r="CW22" s="582"/>
      <c r="CX22" s="582"/>
      <c r="CY22" s="78"/>
      <c r="CZ22" s="582"/>
      <c r="DA22" s="582"/>
      <c r="DB22" s="582"/>
      <c r="DC22" s="582"/>
      <c r="DD22" s="582"/>
      <c r="DE22" s="582"/>
      <c r="DF22" s="582"/>
      <c r="DG22" s="582"/>
      <c r="DH22" s="582"/>
      <c r="DI22" s="582"/>
      <c r="DJ22" s="582"/>
      <c r="DK22" s="582"/>
      <c r="DL22" s="582"/>
      <c r="DM22" s="582"/>
      <c r="DN22" s="582"/>
      <c r="DO22" s="582"/>
      <c r="DP22" s="582"/>
      <c r="DQ22" s="582"/>
      <c r="DR22" s="582"/>
      <c r="DS22" s="582"/>
      <c r="DT22" s="582"/>
      <c r="DU22" s="582"/>
      <c r="DV22" s="582"/>
      <c r="DW22" s="582"/>
      <c r="DX22" s="582"/>
      <c r="DY22" s="582"/>
      <c r="DZ22" s="582"/>
      <c r="EA22" s="582"/>
      <c r="EB22" s="582"/>
      <c r="EC22" s="582"/>
      <c r="ED22" s="582"/>
      <c r="EE22" s="582"/>
      <c r="EF22" s="582"/>
      <c r="EG22" s="582"/>
      <c r="EH22" s="582"/>
      <c r="EI22" s="582"/>
      <c r="EJ22" s="582"/>
      <c r="EK22" s="582"/>
      <c r="EL22" s="582"/>
      <c r="EM22" s="582"/>
      <c r="EN22" s="582"/>
      <c r="EO22" s="582"/>
      <c r="EP22" s="582"/>
      <c r="EQ22" s="582"/>
      <c r="ER22" s="582"/>
      <c r="ES22" s="582"/>
      <c r="ET22" s="582"/>
      <c r="EU22" s="582"/>
      <c r="EV22" s="582"/>
      <c r="EW22" s="582"/>
      <c r="EX22" s="582"/>
      <c r="EY22" s="582"/>
      <c r="EZ22" s="582"/>
      <c r="FA22" s="582"/>
      <c r="FB22" s="582"/>
      <c r="FC22" s="582"/>
      <c r="FD22" s="582"/>
      <c r="FE22" s="582"/>
      <c r="FF22" s="582"/>
      <c r="FG22" s="582"/>
      <c r="FH22" s="582"/>
      <c r="FI22" s="582"/>
      <c r="FJ22" s="582"/>
      <c r="FK22" s="582"/>
      <c r="FL22" s="582"/>
      <c r="FM22" s="582"/>
      <c r="FN22" s="582"/>
      <c r="FO22" s="582"/>
      <c r="FP22" s="582"/>
      <c r="FQ22" s="582"/>
      <c r="FR22" s="582"/>
      <c r="FS22" s="582"/>
      <c r="FT22" s="582"/>
      <c r="FU22" s="582"/>
      <c r="FV22" s="582"/>
      <c r="FW22" s="582"/>
      <c r="FX22" s="582"/>
      <c r="FY22" s="582"/>
      <c r="FZ22" s="582"/>
      <c r="GA22" s="582"/>
      <c r="GB22" s="582"/>
      <c r="GC22" s="582"/>
      <c r="GD22" s="582"/>
      <c r="GE22" s="582"/>
      <c r="GF22" s="582"/>
      <c r="GG22" s="582"/>
      <c r="GH22" s="582"/>
      <c r="GI22" s="582"/>
      <c r="GJ22" s="582"/>
      <c r="GK22" s="582"/>
      <c r="GL22" s="78"/>
    </row>
    <row r="23" spans="1:194" s="70" customFormat="1" ht="21.75" customHeight="1" x14ac:dyDescent="0.25">
      <c r="A23" s="65" t="s">
        <v>204</v>
      </c>
      <c r="B23" s="66" t="s">
        <v>204</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2">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ht="15" x14ac:dyDescent="0.25">
      <c r="A25" s="74" t="s">
        <v>39</v>
      </c>
      <c r="B25" s="613" t="s">
        <v>41</v>
      </c>
      <c r="C25" s="75" t="s">
        <v>249</v>
      </c>
      <c r="D25" s="77">
        <f t="shared" ref="D25:E27" si="3">I25</f>
        <v>21895402</v>
      </c>
      <c r="E25" s="77">
        <f t="shared" si="3"/>
        <v>23324090</v>
      </c>
      <c r="F25" s="583">
        <f>G25+H25</f>
        <v>57106398</v>
      </c>
      <c r="G25" s="583">
        <f>SUM(M25:CY25)</f>
        <v>27983290</v>
      </c>
      <c r="H25" s="76">
        <f>SUM(CZ25:GL25)</f>
        <v>29123108</v>
      </c>
      <c r="I25" s="76">
        <f>SUM(AE25:CY25)</f>
        <v>21895402</v>
      </c>
      <c r="J25" s="76">
        <f>SUM(DR25:GL25)</f>
        <v>23324090</v>
      </c>
      <c r="K25" s="584">
        <f>SUM(M25:AD25)</f>
        <v>6087888</v>
      </c>
      <c r="L25" s="77">
        <f>SUM(CZ25:DQ25)</f>
        <v>5799018</v>
      </c>
      <c r="M25" s="583">
        <v>305120</v>
      </c>
      <c r="N25" s="583">
        <v>303019</v>
      </c>
      <c r="O25" s="583">
        <v>314737</v>
      </c>
      <c r="P25" s="583">
        <v>321299</v>
      </c>
      <c r="Q25" s="583">
        <v>325230</v>
      </c>
      <c r="R25" s="583">
        <v>333023</v>
      </c>
      <c r="S25" s="583">
        <v>343154</v>
      </c>
      <c r="T25" s="583">
        <v>339729</v>
      </c>
      <c r="U25" s="583">
        <v>341966</v>
      </c>
      <c r="V25" s="583">
        <v>351482</v>
      </c>
      <c r="W25" s="583">
        <v>360539</v>
      </c>
      <c r="X25" s="583">
        <v>361688</v>
      </c>
      <c r="Y25" s="583">
        <v>356777</v>
      </c>
      <c r="Z25" s="583">
        <v>354079</v>
      </c>
      <c r="AA25" s="583">
        <v>357199</v>
      </c>
      <c r="AB25" s="583">
        <v>344190</v>
      </c>
      <c r="AC25" s="583">
        <v>336612</v>
      </c>
      <c r="AD25" s="583">
        <v>338045</v>
      </c>
      <c r="AE25" s="583">
        <v>339142</v>
      </c>
      <c r="AF25" s="583">
        <v>339234</v>
      </c>
      <c r="AG25" s="583">
        <v>338398</v>
      </c>
      <c r="AH25" s="583">
        <v>338465</v>
      </c>
      <c r="AI25" s="583">
        <v>345338</v>
      </c>
      <c r="AJ25" s="583">
        <v>358287</v>
      </c>
      <c r="AK25" s="583">
        <v>360304</v>
      </c>
      <c r="AL25" s="583">
        <v>365799</v>
      </c>
      <c r="AM25" s="583">
        <v>360324</v>
      </c>
      <c r="AN25" s="583">
        <v>364086</v>
      </c>
      <c r="AO25" s="583">
        <v>372653</v>
      </c>
      <c r="AP25" s="583">
        <v>372807</v>
      </c>
      <c r="AQ25" s="583">
        <v>383710</v>
      </c>
      <c r="AR25" s="583">
        <v>389563</v>
      </c>
      <c r="AS25" s="583">
        <v>387640</v>
      </c>
      <c r="AT25" s="583">
        <v>384620</v>
      </c>
      <c r="AU25" s="583">
        <v>387905</v>
      </c>
      <c r="AV25" s="583">
        <v>378829</v>
      </c>
      <c r="AW25" s="583">
        <v>378199</v>
      </c>
      <c r="AX25" s="583">
        <v>377186</v>
      </c>
      <c r="AY25" s="583">
        <v>365502</v>
      </c>
      <c r="AZ25" s="583">
        <v>366111</v>
      </c>
      <c r="BA25" s="583">
        <v>365728</v>
      </c>
      <c r="BB25" s="583">
        <v>369097</v>
      </c>
      <c r="BC25" s="583">
        <v>371802</v>
      </c>
      <c r="BD25" s="583">
        <v>357560</v>
      </c>
      <c r="BE25" s="583">
        <v>334069</v>
      </c>
      <c r="BF25" s="583">
        <v>328458</v>
      </c>
      <c r="BG25" s="583">
        <v>335746</v>
      </c>
      <c r="BH25" s="583">
        <v>342585</v>
      </c>
      <c r="BI25" s="583">
        <v>346685</v>
      </c>
      <c r="BJ25" s="583">
        <v>360442</v>
      </c>
      <c r="BK25" s="583">
        <v>373390</v>
      </c>
      <c r="BL25" s="583">
        <v>385375</v>
      </c>
      <c r="BM25" s="583">
        <v>375807</v>
      </c>
      <c r="BN25" s="583">
        <v>383988</v>
      </c>
      <c r="BO25" s="583">
        <v>382566</v>
      </c>
      <c r="BP25" s="583">
        <v>385629</v>
      </c>
      <c r="BQ25" s="583">
        <v>381742</v>
      </c>
      <c r="BR25" s="583">
        <v>381998</v>
      </c>
      <c r="BS25" s="583">
        <v>376164</v>
      </c>
      <c r="BT25" s="583">
        <v>367036</v>
      </c>
      <c r="BU25" s="583">
        <v>357672</v>
      </c>
      <c r="BV25" s="583">
        <v>344928</v>
      </c>
      <c r="BW25" s="583">
        <v>329857</v>
      </c>
      <c r="BX25" s="583">
        <v>319451</v>
      </c>
      <c r="BY25" s="583">
        <v>309724</v>
      </c>
      <c r="BZ25" s="583">
        <v>294558</v>
      </c>
      <c r="CA25" s="583">
        <v>282293</v>
      </c>
      <c r="CB25" s="583">
        <v>268536</v>
      </c>
      <c r="CC25" s="583">
        <v>266443</v>
      </c>
      <c r="CD25" s="583">
        <v>260410</v>
      </c>
      <c r="CE25" s="583">
        <v>249450</v>
      </c>
      <c r="CF25" s="583">
        <v>249080</v>
      </c>
      <c r="CG25" s="583">
        <v>249070</v>
      </c>
      <c r="CH25" s="583">
        <v>252982</v>
      </c>
      <c r="CI25" s="583">
        <v>263625</v>
      </c>
      <c r="CJ25" s="583">
        <v>283090</v>
      </c>
      <c r="CK25" s="583">
        <v>211587</v>
      </c>
      <c r="CL25" s="583">
        <v>200401</v>
      </c>
      <c r="CM25" s="583">
        <v>195036</v>
      </c>
      <c r="CN25" s="583">
        <v>174093</v>
      </c>
      <c r="CO25" s="583">
        <v>149572</v>
      </c>
      <c r="CP25" s="583">
        <v>127665</v>
      </c>
      <c r="CQ25" s="583">
        <v>127183</v>
      </c>
      <c r="CR25" s="583">
        <v>120061</v>
      </c>
      <c r="CS25" s="583">
        <v>109873</v>
      </c>
      <c r="CT25" s="583">
        <v>97456</v>
      </c>
      <c r="CU25" s="583">
        <v>84705</v>
      </c>
      <c r="CV25" s="583">
        <v>73428</v>
      </c>
      <c r="CW25" s="583">
        <v>60864</v>
      </c>
      <c r="CX25" s="583">
        <v>51376</v>
      </c>
      <c r="CY25" s="583">
        <v>170964</v>
      </c>
      <c r="CZ25" s="583">
        <v>291186</v>
      </c>
      <c r="DA25" s="583">
        <v>289546</v>
      </c>
      <c r="DB25" s="583">
        <v>300800</v>
      </c>
      <c r="DC25" s="583">
        <v>305906</v>
      </c>
      <c r="DD25" s="583">
        <v>310539</v>
      </c>
      <c r="DE25" s="583">
        <v>318263</v>
      </c>
      <c r="DF25" s="583">
        <v>326932</v>
      </c>
      <c r="DG25" s="583">
        <v>324633</v>
      </c>
      <c r="DH25" s="583">
        <v>326780</v>
      </c>
      <c r="DI25" s="583">
        <v>334543</v>
      </c>
      <c r="DJ25" s="583">
        <v>344341</v>
      </c>
      <c r="DK25" s="583">
        <v>343967</v>
      </c>
      <c r="DL25" s="583">
        <v>339949</v>
      </c>
      <c r="DM25" s="583">
        <v>337345</v>
      </c>
      <c r="DN25" s="583">
        <v>340474</v>
      </c>
      <c r="DO25" s="583">
        <v>326885</v>
      </c>
      <c r="DP25" s="583">
        <v>319023</v>
      </c>
      <c r="DQ25" s="583">
        <v>317906</v>
      </c>
      <c r="DR25" s="583">
        <v>318297</v>
      </c>
      <c r="DS25" s="583">
        <v>319325</v>
      </c>
      <c r="DT25" s="583">
        <v>325075</v>
      </c>
      <c r="DU25" s="583">
        <v>327194</v>
      </c>
      <c r="DV25" s="583">
        <v>333614</v>
      </c>
      <c r="DW25" s="583">
        <v>350669</v>
      </c>
      <c r="DX25" s="583">
        <v>358581</v>
      </c>
      <c r="DY25" s="583">
        <v>367839</v>
      </c>
      <c r="DZ25" s="583">
        <v>363988</v>
      </c>
      <c r="EA25" s="583">
        <v>374022</v>
      </c>
      <c r="EB25" s="583">
        <v>387522</v>
      </c>
      <c r="EC25" s="583">
        <v>390671</v>
      </c>
      <c r="ED25" s="583">
        <v>404331</v>
      </c>
      <c r="EE25" s="583">
        <v>410921</v>
      </c>
      <c r="EF25" s="583">
        <v>413176</v>
      </c>
      <c r="EG25" s="583">
        <v>411450</v>
      </c>
      <c r="EH25" s="583">
        <v>417983</v>
      </c>
      <c r="EI25" s="583">
        <v>409203</v>
      </c>
      <c r="EJ25" s="583">
        <v>404000</v>
      </c>
      <c r="EK25" s="583">
        <v>401928</v>
      </c>
      <c r="EL25" s="583">
        <v>389436</v>
      </c>
      <c r="EM25" s="583">
        <v>389518</v>
      </c>
      <c r="EN25" s="583">
        <v>386124</v>
      </c>
      <c r="EO25" s="583">
        <v>390735</v>
      </c>
      <c r="EP25" s="583">
        <v>390956</v>
      </c>
      <c r="EQ25" s="583">
        <v>373536</v>
      </c>
      <c r="ER25" s="583">
        <v>346385</v>
      </c>
      <c r="ES25" s="583">
        <v>339293</v>
      </c>
      <c r="ET25" s="583">
        <v>345871</v>
      </c>
      <c r="EU25" s="583">
        <v>353016</v>
      </c>
      <c r="EV25" s="583">
        <v>356906</v>
      </c>
      <c r="EW25" s="583">
        <v>370244</v>
      </c>
      <c r="EX25" s="583">
        <v>384214</v>
      </c>
      <c r="EY25" s="583">
        <v>399644</v>
      </c>
      <c r="EZ25" s="583">
        <v>389031</v>
      </c>
      <c r="FA25" s="583">
        <v>397139</v>
      </c>
      <c r="FB25" s="583">
        <v>395547</v>
      </c>
      <c r="FC25" s="583">
        <v>396676</v>
      </c>
      <c r="FD25" s="583">
        <v>396578</v>
      </c>
      <c r="FE25" s="583">
        <v>396708</v>
      </c>
      <c r="FF25" s="583">
        <v>390539</v>
      </c>
      <c r="FG25" s="583">
        <v>380695</v>
      </c>
      <c r="FH25" s="583">
        <v>371143</v>
      </c>
      <c r="FI25" s="583">
        <v>355407</v>
      </c>
      <c r="FJ25" s="583">
        <v>340408</v>
      </c>
      <c r="FK25" s="583">
        <v>331322</v>
      </c>
      <c r="FL25" s="583">
        <v>321164</v>
      </c>
      <c r="FM25" s="583">
        <v>308551</v>
      </c>
      <c r="FN25" s="583">
        <v>295719</v>
      </c>
      <c r="FO25" s="583">
        <v>284931</v>
      </c>
      <c r="FP25" s="583">
        <v>285437</v>
      </c>
      <c r="FQ25" s="583">
        <v>278929</v>
      </c>
      <c r="FR25" s="583">
        <v>271460</v>
      </c>
      <c r="FS25" s="583">
        <v>271487</v>
      </c>
      <c r="FT25" s="583">
        <v>275610</v>
      </c>
      <c r="FU25" s="583">
        <v>280129</v>
      </c>
      <c r="FV25" s="583">
        <v>294843</v>
      </c>
      <c r="FW25" s="583">
        <v>316380</v>
      </c>
      <c r="FX25" s="583">
        <v>240292</v>
      </c>
      <c r="FY25" s="583">
        <v>230370</v>
      </c>
      <c r="FZ25" s="583">
        <v>225985</v>
      </c>
      <c r="GA25" s="583">
        <v>206546</v>
      </c>
      <c r="GB25" s="583">
        <v>181398</v>
      </c>
      <c r="GC25" s="583">
        <v>159103</v>
      </c>
      <c r="GD25" s="583">
        <v>161482</v>
      </c>
      <c r="GE25" s="583">
        <v>155577</v>
      </c>
      <c r="GF25" s="583">
        <v>145759</v>
      </c>
      <c r="GG25" s="583">
        <v>132931</v>
      </c>
      <c r="GH25" s="583">
        <v>120255</v>
      </c>
      <c r="GI25" s="583">
        <v>107758</v>
      </c>
      <c r="GJ25" s="583">
        <v>93505</v>
      </c>
      <c r="GK25" s="583">
        <v>82264</v>
      </c>
      <c r="GL25" s="583">
        <v>349365</v>
      </c>
    </row>
    <row r="26" spans="1:194" s="8" customFormat="1" ht="15" x14ac:dyDescent="0.25">
      <c r="A26" s="32" t="s">
        <v>39</v>
      </c>
      <c r="B26" s="614" t="s">
        <v>250</v>
      </c>
      <c r="C26" s="33" t="s">
        <v>251</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ht="15" x14ac:dyDescent="0.25">
      <c r="A27" s="38" t="s">
        <v>39</v>
      </c>
      <c r="B27" s="615" t="s">
        <v>252</v>
      </c>
      <c r="C27" s="39" t="s">
        <v>253</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
      <c r="A28" s="44"/>
      <c r="B28" s="616"/>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hidden="1" x14ac:dyDescent="0.2">
      <c r="A29" s="83" t="s">
        <v>235</v>
      </c>
      <c r="B29" s="617" t="s">
        <v>254</v>
      </c>
      <c r="C29" s="72" t="str">
        <f t="shared" ref="C29:C92" si="4">CONCATENATE(A29," - ",B29)</f>
        <v xml:space="preserve">England – CCGs - Barnsley </v>
      </c>
      <c r="D29" s="61">
        <f>I29</f>
        <v>95316</v>
      </c>
      <c r="E29" s="61">
        <f>J29</f>
        <v>100485</v>
      </c>
      <c r="F29" s="585">
        <f>G29+H29</f>
        <v>246482</v>
      </c>
      <c r="G29" s="585">
        <f>SUM(M29:CY29)</f>
        <v>121223</v>
      </c>
      <c r="H29" s="62">
        <f>SUM(CZ29:GL29)</f>
        <v>125259</v>
      </c>
      <c r="I29" s="62">
        <f>SUM(AE29:CY29)</f>
        <v>95316</v>
      </c>
      <c r="J29" s="62">
        <f>SUM(DR29:GL29)</f>
        <v>100485</v>
      </c>
      <c r="K29" s="586">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hidden="1" x14ac:dyDescent="0.2">
      <c r="A30" s="87" t="s">
        <v>235</v>
      </c>
      <c r="B30" s="617" t="s">
        <v>255</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hidden="1" x14ac:dyDescent="0.2">
      <c r="A31" s="87" t="s">
        <v>235</v>
      </c>
      <c r="B31" s="617" t="s">
        <v>256</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hidden="1" x14ac:dyDescent="0.2">
      <c r="A32" s="87" t="s">
        <v>235</v>
      </c>
      <c r="B32" s="617" t="s">
        <v>257</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hidden="1" x14ac:dyDescent="0.2">
      <c r="A33" s="87" t="s">
        <v>235</v>
      </c>
      <c r="B33" s="617" t="s">
        <v>258</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hidden="1" x14ac:dyDescent="0.2">
      <c r="A34" s="87" t="s">
        <v>235</v>
      </c>
      <c r="B34" s="617" t="s">
        <v>259</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hidden="1" x14ac:dyDescent="0.2">
      <c r="A35" s="87" t="s">
        <v>235</v>
      </c>
      <c r="B35" s="617" t="s">
        <v>260</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hidden="1" x14ac:dyDescent="0.2">
      <c r="A36" s="87" t="s">
        <v>235</v>
      </c>
      <c r="B36" s="617" t="s">
        <v>261</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hidden="1" x14ac:dyDescent="0.2">
      <c r="A37" s="87" t="s">
        <v>235</v>
      </c>
      <c r="B37" s="617" t="s">
        <v>262</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hidden="1" x14ac:dyDescent="0.2">
      <c r="A38" s="87" t="s">
        <v>235</v>
      </c>
      <c r="B38" s="617" t="s">
        <v>263</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hidden="1" x14ac:dyDescent="0.2">
      <c r="A39" s="87" t="s">
        <v>235</v>
      </c>
      <c r="B39" s="617" t="s">
        <v>264</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hidden="1" x14ac:dyDescent="0.2">
      <c r="A40" s="87" t="s">
        <v>235</v>
      </c>
      <c r="B40" s="617" t="s">
        <v>265</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hidden="1" x14ac:dyDescent="0.2">
      <c r="A41" s="87" t="s">
        <v>235</v>
      </c>
      <c r="B41" s="617" t="s">
        <v>266</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hidden="1" x14ac:dyDescent="0.2">
      <c r="A42" s="87" t="s">
        <v>235</v>
      </c>
      <c r="B42" s="617" t="s">
        <v>267</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hidden="1" x14ac:dyDescent="0.2">
      <c r="A43" s="87" t="s">
        <v>235</v>
      </c>
      <c r="B43" s="617" t="s">
        <v>268</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hidden="1" x14ac:dyDescent="0.2">
      <c r="A44" s="87" t="s">
        <v>235</v>
      </c>
      <c r="B44" s="617" t="s">
        <v>269</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hidden="1" x14ac:dyDescent="0.2">
      <c r="A45" s="87" t="s">
        <v>235</v>
      </c>
      <c r="B45" s="617" t="s">
        <v>270</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hidden="1" x14ac:dyDescent="0.2">
      <c r="A46" s="87" t="s">
        <v>235</v>
      </c>
      <c r="B46" s="617" t="s">
        <v>271</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hidden="1" x14ac:dyDescent="0.2">
      <c r="A47" s="87" t="s">
        <v>235</v>
      </c>
      <c r="B47" s="617" t="s">
        <v>272</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hidden="1" x14ac:dyDescent="0.2">
      <c r="A48" s="87" t="s">
        <v>235</v>
      </c>
      <c r="B48" s="617" t="s">
        <v>273</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hidden="1" x14ac:dyDescent="0.2">
      <c r="A49" s="87" t="s">
        <v>235</v>
      </c>
      <c r="B49" s="617" t="s">
        <v>274</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hidden="1" x14ac:dyDescent="0.2">
      <c r="A50" s="87" t="s">
        <v>235</v>
      </c>
      <c r="B50" s="617" t="s">
        <v>275</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hidden="1" x14ac:dyDescent="0.2">
      <c r="A51" s="87" t="s">
        <v>235</v>
      </c>
      <c r="B51" s="617" t="s">
        <v>276</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hidden="1" x14ac:dyDescent="0.2">
      <c r="A52" s="87" t="s">
        <v>235</v>
      </c>
      <c r="B52" s="617" t="s">
        <v>277</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hidden="1" x14ac:dyDescent="0.2">
      <c r="A53" s="87" t="s">
        <v>235</v>
      </c>
      <c r="B53" s="617" t="s">
        <v>278</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hidden="1" x14ac:dyDescent="0.2">
      <c r="A54" s="87" t="s">
        <v>235</v>
      </c>
      <c r="B54" s="617" t="s">
        <v>279</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hidden="1" x14ac:dyDescent="0.2">
      <c r="A55" s="87" t="s">
        <v>235</v>
      </c>
      <c r="B55" s="617" t="s">
        <v>280</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hidden="1" x14ac:dyDescent="0.2">
      <c r="A56" s="87" t="s">
        <v>235</v>
      </c>
      <c r="B56" s="617" t="s">
        <v>281</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hidden="1" x14ac:dyDescent="0.2">
      <c r="A57" s="87" t="s">
        <v>235</v>
      </c>
      <c r="B57" s="617" t="s">
        <v>282</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hidden="1" x14ac:dyDescent="0.2">
      <c r="A58" s="87" t="s">
        <v>235</v>
      </c>
      <c r="B58" s="617" t="s">
        <v>283</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hidden="1" x14ac:dyDescent="0.2">
      <c r="A59" s="87" t="s">
        <v>235</v>
      </c>
      <c r="B59" s="617" t="s">
        <v>284</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hidden="1" x14ac:dyDescent="0.2">
      <c r="A60" s="87" t="s">
        <v>235</v>
      </c>
      <c r="B60" s="617" t="s">
        <v>285</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hidden="1" x14ac:dyDescent="0.2">
      <c r="A61" s="87" t="s">
        <v>235</v>
      </c>
      <c r="B61" s="617" t="s">
        <v>286</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hidden="1" x14ac:dyDescent="0.2">
      <c r="A62" s="87" t="s">
        <v>235</v>
      </c>
      <c r="B62" s="617" t="s">
        <v>287</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hidden="1" x14ac:dyDescent="0.2">
      <c r="A63" s="87" t="s">
        <v>235</v>
      </c>
      <c r="B63" s="617" t="s">
        <v>288</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hidden="1" x14ac:dyDescent="0.2">
      <c r="A64" s="87" t="s">
        <v>235</v>
      </c>
      <c r="B64" s="617" t="s">
        <v>289</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hidden="1" x14ac:dyDescent="0.2">
      <c r="A65" s="87" t="s">
        <v>235</v>
      </c>
      <c r="B65" s="617" t="s">
        <v>290</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hidden="1" x14ac:dyDescent="0.2">
      <c r="A66" s="87" t="s">
        <v>235</v>
      </c>
      <c r="B66" s="617" t="s">
        <v>291</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hidden="1" x14ac:dyDescent="0.2">
      <c r="A67" s="87" t="s">
        <v>235</v>
      </c>
      <c r="B67" s="617" t="s">
        <v>292</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hidden="1" x14ac:dyDescent="0.2">
      <c r="A68" s="87" t="s">
        <v>235</v>
      </c>
      <c r="B68" s="617" t="s">
        <v>293</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hidden="1" x14ac:dyDescent="0.2">
      <c r="A69" s="87" t="s">
        <v>235</v>
      </c>
      <c r="B69" s="617" t="s">
        <v>294</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hidden="1" x14ac:dyDescent="0.2">
      <c r="A70" s="87" t="s">
        <v>235</v>
      </c>
      <c r="B70" s="617" t="s">
        <v>295</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hidden="1" x14ac:dyDescent="0.2">
      <c r="A71" s="87" t="s">
        <v>235</v>
      </c>
      <c r="B71" s="617" t="s">
        <v>296</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hidden="1" x14ac:dyDescent="0.2">
      <c r="A72" s="87" t="s">
        <v>235</v>
      </c>
      <c r="B72" s="617" t="s">
        <v>297</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hidden="1" x14ac:dyDescent="0.2">
      <c r="A73" s="87" t="s">
        <v>235</v>
      </c>
      <c r="B73" s="617" t="s">
        <v>298</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hidden="1" x14ac:dyDescent="0.2">
      <c r="A74" s="87" t="s">
        <v>235</v>
      </c>
      <c r="B74" s="617" t="s">
        <v>299</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hidden="1" x14ac:dyDescent="0.2">
      <c r="A75" s="87" t="s">
        <v>235</v>
      </c>
      <c r="B75" s="617" t="s">
        <v>300</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hidden="1" x14ac:dyDescent="0.2">
      <c r="A76" s="87" t="s">
        <v>235</v>
      </c>
      <c r="B76" s="617" t="s">
        <v>301</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hidden="1" x14ac:dyDescent="0.2">
      <c r="A77" s="87" t="s">
        <v>235</v>
      </c>
      <c r="B77" s="617" t="s">
        <v>302</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hidden="1" x14ac:dyDescent="0.2">
      <c r="A78" s="87" t="s">
        <v>235</v>
      </c>
      <c r="B78" s="617" t="s">
        <v>303</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hidden="1" x14ac:dyDescent="0.2">
      <c r="A79" s="87" t="s">
        <v>235</v>
      </c>
      <c r="B79" s="617" t="s">
        <v>304</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hidden="1" x14ac:dyDescent="0.2">
      <c r="A80" s="87" t="s">
        <v>235</v>
      </c>
      <c r="B80" s="617" t="s">
        <v>305</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hidden="1" x14ac:dyDescent="0.2">
      <c r="A81" s="87" t="s">
        <v>235</v>
      </c>
      <c r="B81" s="617" t="s">
        <v>306</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hidden="1" x14ac:dyDescent="0.2">
      <c r="A82" s="87" t="s">
        <v>235</v>
      </c>
      <c r="B82" s="617" t="s">
        <v>307</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hidden="1" x14ac:dyDescent="0.2">
      <c r="A83" s="87" t="s">
        <v>235</v>
      </c>
      <c r="B83" s="617" t="s">
        <v>308</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hidden="1" x14ac:dyDescent="0.2">
      <c r="A84" s="87" t="s">
        <v>235</v>
      </c>
      <c r="B84" s="617" t="s">
        <v>309</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hidden="1" x14ac:dyDescent="0.2">
      <c r="A85" s="87" t="s">
        <v>235</v>
      </c>
      <c r="B85" s="617" t="s">
        <v>310</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hidden="1" x14ac:dyDescent="0.2">
      <c r="A86" s="87" t="s">
        <v>235</v>
      </c>
      <c r="B86" s="617" t="s">
        <v>311</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hidden="1" x14ac:dyDescent="0.2">
      <c r="A87" s="87" t="s">
        <v>235</v>
      </c>
      <c r="B87" s="617" t="s">
        <v>312</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hidden="1" x14ac:dyDescent="0.2">
      <c r="A88" s="87" t="s">
        <v>235</v>
      </c>
      <c r="B88" s="617" t="s">
        <v>313</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hidden="1" x14ac:dyDescent="0.2">
      <c r="A89" s="87" t="s">
        <v>235</v>
      </c>
      <c r="B89" s="617" t="s">
        <v>314</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hidden="1" x14ac:dyDescent="0.2">
      <c r="A90" s="87" t="s">
        <v>235</v>
      </c>
      <c r="B90" s="617" t="s">
        <v>315</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hidden="1" x14ac:dyDescent="0.2">
      <c r="A91" s="87" t="s">
        <v>235</v>
      </c>
      <c r="B91" s="617" t="s">
        <v>316</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hidden="1" x14ac:dyDescent="0.2">
      <c r="A92" s="87" t="s">
        <v>235</v>
      </c>
      <c r="B92" s="617" t="s">
        <v>317</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hidden="1" x14ac:dyDescent="0.2">
      <c r="A93" s="87" t="s">
        <v>235</v>
      </c>
      <c r="B93" s="617" t="s">
        <v>318</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hidden="1" x14ac:dyDescent="0.2">
      <c r="A94" s="87" t="s">
        <v>235</v>
      </c>
      <c r="B94" s="617" t="s">
        <v>319</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hidden="1" x14ac:dyDescent="0.2">
      <c r="A95" s="87" t="s">
        <v>235</v>
      </c>
      <c r="B95" s="617" t="s">
        <v>320</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hidden="1" x14ac:dyDescent="0.2">
      <c r="A96" s="87" t="s">
        <v>235</v>
      </c>
      <c r="B96" s="617" t="s">
        <v>321</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hidden="1" x14ac:dyDescent="0.2">
      <c r="A97" s="87" t="s">
        <v>235</v>
      </c>
      <c r="B97" s="617" t="s">
        <v>322</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hidden="1" x14ac:dyDescent="0.2">
      <c r="A98" s="87" t="s">
        <v>235</v>
      </c>
      <c r="B98" s="617" t="s">
        <v>323</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hidden="1" x14ac:dyDescent="0.2">
      <c r="A99" s="87" t="s">
        <v>235</v>
      </c>
      <c r="B99" s="617" t="s">
        <v>324</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hidden="1" x14ac:dyDescent="0.2">
      <c r="A100" s="87" t="s">
        <v>235</v>
      </c>
      <c r="B100" s="617" t="s">
        <v>325</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hidden="1" x14ac:dyDescent="0.2">
      <c r="A101" s="87" t="s">
        <v>235</v>
      </c>
      <c r="B101" s="617" t="s">
        <v>326</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hidden="1" x14ac:dyDescent="0.2">
      <c r="A102" s="87" t="s">
        <v>235</v>
      </c>
      <c r="B102" s="617" t="s">
        <v>327</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hidden="1" x14ac:dyDescent="0.2">
      <c r="A103" s="87" t="s">
        <v>235</v>
      </c>
      <c r="B103" s="617" t="s">
        <v>328</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hidden="1" x14ac:dyDescent="0.2">
      <c r="A104" s="87" t="s">
        <v>235</v>
      </c>
      <c r="B104" s="617" t="s">
        <v>329</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hidden="1" x14ac:dyDescent="0.2">
      <c r="A105" s="87" t="s">
        <v>235</v>
      </c>
      <c r="B105" s="617" t="s">
        <v>330</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hidden="1" x14ac:dyDescent="0.2">
      <c r="A106" s="87" t="s">
        <v>235</v>
      </c>
      <c r="B106" s="617" t="s">
        <v>331</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hidden="1" x14ac:dyDescent="0.2">
      <c r="A107" s="87" t="s">
        <v>235</v>
      </c>
      <c r="B107" s="617" t="s">
        <v>332</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hidden="1" x14ac:dyDescent="0.2">
      <c r="A108" s="87" t="s">
        <v>235</v>
      </c>
      <c r="B108" s="617" t="s">
        <v>333</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hidden="1" x14ac:dyDescent="0.2">
      <c r="A109" s="87" t="s">
        <v>235</v>
      </c>
      <c r="B109" s="617" t="s">
        <v>334</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hidden="1" x14ac:dyDescent="0.2">
      <c r="A110" s="87" t="s">
        <v>235</v>
      </c>
      <c r="B110" s="617" t="s">
        <v>335</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hidden="1" x14ac:dyDescent="0.2">
      <c r="A111" s="87" t="s">
        <v>235</v>
      </c>
      <c r="B111" s="617" t="s">
        <v>336</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hidden="1" x14ac:dyDescent="0.2">
      <c r="A112" s="87" t="s">
        <v>235</v>
      </c>
      <c r="B112" s="617" t="s">
        <v>337</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hidden="1" x14ac:dyDescent="0.2">
      <c r="A113" s="87" t="s">
        <v>235</v>
      </c>
      <c r="B113" s="617" t="s">
        <v>338</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hidden="1" x14ac:dyDescent="0.2">
      <c r="A114" s="87" t="s">
        <v>235</v>
      </c>
      <c r="B114" s="617" t="s">
        <v>339</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hidden="1" x14ac:dyDescent="0.2">
      <c r="A115" s="87" t="s">
        <v>235</v>
      </c>
      <c r="B115" s="617" t="s">
        <v>340</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hidden="1" x14ac:dyDescent="0.2">
      <c r="A116" s="87" t="s">
        <v>235</v>
      </c>
      <c r="B116" s="617" t="s">
        <v>341</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hidden="1" x14ac:dyDescent="0.2">
      <c r="A117" s="87" t="s">
        <v>235</v>
      </c>
      <c r="B117" s="617" t="s">
        <v>342</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hidden="1" x14ac:dyDescent="0.2">
      <c r="A118" s="87" t="s">
        <v>235</v>
      </c>
      <c r="B118" s="617" t="s">
        <v>343</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hidden="1" x14ac:dyDescent="0.2">
      <c r="A119" s="87" t="s">
        <v>235</v>
      </c>
      <c r="B119" s="617" t="s">
        <v>344</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hidden="1" x14ac:dyDescent="0.2">
      <c r="A120" s="87" t="s">
        <v>235</v>
      </c>
      <c r="B120" s="617" t="s">
        <v>345</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hidden="1" x14ac:dyDescent="0.2">
      <c r="A121" s="87" t="s">
        <v>235</v>
      </c>
      <c r="B121" s="617" t="s">
        <v>346</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hidden="1" x14ac:dyDescent="0.2">
      <c r="A122" s="87" t="s">
        <v>235</v>
      </c>
      <c r="B122" s="617" t="s">
        <v>347</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hidden="1" x14ac:dyDescent="0.2">
      <c r="A123" s="87" t="s">
        <v>235</v>
      </c>
      <c r="B123" s="617" t="s">
        <v>348</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hidden="1" x14ac:dyDescent="0.2">
      <c r="A124" s="87" t="s">
        <v>235</v>
      </c>
      <c r="B124" s="617" t="s">
        <v>349</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hidden="1" x14ac:dyDescent="0.2">
      <c r="A125" s="87" t="s">
        <v>235</v>
      </c>
      <c r="B125" s="617" t="s">
        <v>350</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hidden="1" x14ac:dyDescent="0.2">
      <c r="A126" s="87" t="s">
        <v>235</v>
      </c>
      <c r="B126" s="617" t="s">
        <v>351</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hidden="1" x14ac:dyDescent="0.2">
      <c r="A127" s="87" t="s">
        <v>235</v>
      </c>
      <c r="B127" s="617" t="s">
        <v>352</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hidden="1" x14ac:dyDescent="0.2">
      <c r="A128" s="87" t="s">
        <v>235</v>
      </c>
      <c r="B128" s="617" t="s">
        <v>353</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hidden="1" x14ac:dyDescent="0.2">
      <c r="A129" s="87" t="s">
        <v>235</v>
      </c>
      <c r="B129" s="617" t="s">
        <v>354</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hidden="1" x14ac:dyDescent="0.2">
      <c r="A130" s="87" t="s">
        <v>235</v>
      </c>
      <c r="B130" s="617" t="s">
        <v>355</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hidden="1" x14ac:dyDescent="0.2">
      <c r="A131" s="87" t="s">
        <v>235</v>
      </c>
      <c r="B131" s="617" t="s">
        <v>356</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hidden="1" x14ac:dyDescent="0.2">
      <c r="A132" s="87" t="s">
        <v>235</v>
      </c>
      <c r="B132" s="617" t="s">
        <v>357</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hidden="1" x14ac:dyDescent="0.2">
      <c r="A133" s="87" t="s">
        <v>235</v>
      </c>
      <c r="B133" s="617" t="s">
        <v>358</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hidden="1" x14ac:dyDescent="0.2">
      <c r="A134" s="87" t="s">
        <v>235</v>
      </c>
      <c r="B134" s="617" t="s">
        <v>359</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ht="15" hidden="1" x14ac:dyDescent="0.25">
      <c r="A135" s="113"/>
      <c r="B135" s="618"/>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hidden="1" x14ac:dyDescent="0.2">
      <c r="A136" s="54" t="s">
        <v>215</v>
      </c>
      <c r="B136" s="619" t="s">
        <v>360</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hidden="1" x14ac:dyDescent="0.2">
      <c r="A137" s="54" t="s">
        <v>215</v>
      </c>
      <c r="B137" s="620" t="s">
        <v>361</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hidden="1" x14ac:dyDescent="0.2">
      <c r="A138" s="54" t="s">
        <v>215</v>
      </c>
      <c r="B138" s="620" t="s">
        <v>362</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hidden="1" x14ac:dyDescent="0.2">
      <c r="A139" s="54" t="s">
        <v>215</v>
      </c>
      <c r="B139" s="620" t="s">
        <v>363</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hidden="1" x14ac:dyDescent="0.2">
      <c r="A140" s="54" t="s">
        <v>215</v>
      </c>
      <c r="B140" s="620" t="s">
        <v>364</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hidden="1" x14ac:dyDescent="0.2">
      <c r="A141" s="54" t="s">
        <v>215</v>
      </c>
      <c r="B141" s="620" t="s">
        <v>365</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hidden="1" x14ac:dyDescent="0.2">
      <c r="A142" s="55" t="s">
        <v>215</v>
      </c>
      <c r="B142" s="621" t="s">
        <v>366</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ht="15" hidden="1" x14ac:dyDescent="0.25">
      <c r="A143" s="117"/>
      <c r="B143" s="622"/>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hidden="1" x14ac:dyDescent="0.2">
      <c r="A144" s="59" t="s">
        <v>218</v>
      </c>
      <c r="B144" s="619" t="s">
        <v>367</v>
      </c>
      <c r="C144" s="72" t="str">
        <f>CONCATENATE(A144," - ",B144)</f>
        <v>NI – Health and Social Care Trusts - Belfast Health and Social Care Trust</v>
      </c>
      <c r="D144" s="61">
        <f t="shared" ref="D144:E148" si="33">I144</f>
        <v>138553.97738288154</v>
      </c>
      <c r="E144" s="61">
        <f t="shared" si="33"/>
        <v>149546.65719477332</v>
      </c>
      <c r="F144" s="585">
        <f>G144+H144</f>
        <v>364103.61922965694</v>
      </c>
      <c r="G144" s="585">
        <f>SUM(M144:CY144)</f>
        <v>177508.17393508262</v>
      </c>
      <c r="H144" s="62">
        <f>SUM(CZ144:GL144)</f>
        <v>186595.44529457431</v>
      </c>
      <c r="I144" s="62">
        <f>SUM(AE144:CY144)</f>
        <v>138553.97738288154</v>
      </c>
      <c r="J144" s="62">
        <f>SUM(DR144:GL144)</f>
        <v>149546.65719477332</v>
      </c>
      <c r="K144" s="586">
        <f>SUM(M144:AD144)</f>
        <v>38954.196552201036</v>
      </c>
      <c r="L144" s="61">
        <f>SUM(CZ144:DQ144)</f>
        <v>37048.788099800979</v>
      </c>
      <c r="M144" s="586">
        <v>2017.8952120383037</v>
      </c>
      <c r="N144" s="586">
        <v>2031.4154300095463</v>
      </c>
      <c r="O144" s="586">
        <v>2025.5722779004586</v>
      </c>
      <c r="P144" s="586">
        <v>2036.6363244919048</v>
      </c>
      <c r="Q144" s="586">
        <v>2174.8657606103957</v>
      </c>
      <c r="R144" s="586">
        <v>2139.1275684252282</v>
      </c>
      <c r="S144" s="586">
        <v>2269.8788621098379</v>
      </c>
      <c r="T144" s="586">
        <v>2199.8731034482757</v>
      </c>
      <c r="U144" s="586">
        <v>2214.1918960244648</v>
      </c>
      <c r="V144" s="586">
        <v>2323.0202012443356</v>
      </c>
      <c r="W144" s="586">
        <v>2319.2258355916892</v>
      </c>
      <c r="X144" s="586">
        <v>2302.9974595842955</v>
      </c>
      <c r="Y144" s="586">
        <v>2256.5049293083684</v>
      </c>
      <c r="Z144" s="586">
        <v>2212.0418107754977</v>
      </c>
      <c r="AA144" s="586">
        <v>2229.1199141767324</v>
      </c>
      <c r="AB144" s="586">
        <v>2134.8894582108355</v>
      </c>
      <c r="AC144" s="586">
        <v>2012.6591474539725</v>
      </c>
      <c r="AD144" s="586">
        <v>2054.2813607968933</v>
      </c>
      <c r="AE144" s="586">
        <v>2265.0450211864404</v>
      </c>
      <c r="AF144" s="586">
        <v>2804.7232134687529</v>
      </c>
      <c r="AG144" s="586">
        <v>2878.6458486407055</v>
      </c>
      <c r="AH144" s="586">
        <v>2648.2416475163518</v>
      </c>
      <c r="AI144" s="586">
        <v>2812.8031562871206</v>
      </c>
      <c r="AJ144" s="586">
        <v>2819.1729711141679</v>
      </c>
      <c r="AK144" s="586">
        <v>2731.7522704339053</v>
      </c>
      <c r="AL144" s="586">
        <v>2754.8174718956493</v>
      </c>
      <c r="AM144" s="586">
        <v>2792.2450211225105</v>
      </c>
      <c r="AN144" s="586">
        <v>2709.9772329246935</v>
      </c>
      <c r="AO144" s="586">
        <v>2693.0545391183132</v>
      </c>
      <c r="AP144" s="586">
        <v>2739.741847362131</v>
      </c>
      <c r="AQ144" s="586">
        <v>2738.9105892047796</v>
      </c>
      <c r="AR144" s="586">
        <v>2711.0666008067833</v>
      </c>
      <c r="AS144" s="586">
        <v>2782.8070289619263</v>
      </c>
      <c r="AT144" s="586">
        <v>2691.3420944220152</v>
      </c>
      <c r="AU144" s="586">
        <v>2575.2371291098634</v>
      </c>
      <c r="AV144" s="586">
        <v>2616.3572226656024</v>
      </c>
      <c r="AW144" s="586">
        <v>2585.9089460686691</v>
      </c>
      <c r="AX144" s="586">
        <v>2533.264568094025</v>
      </c>
      <c r="AY144" s="586">
        <v>2413.1614349775782</v>
      </c>
      <c r="AZ144" s="586">
        <v>2431.4496314496314</v>
      </c>
      <c r="BA144" s="586">
        <v>2293.8903732491299</v>
      </c>
      <c r="BB144" s="586">
        <v>2344.819097470061</v>
      </c>
      <c r="BC144" s="586">
        <v>2403.7633319021038</v>
      </c>
      <c r="BD144" s="586">
        <v>2239.8626248466794</v>
      </c>
      <c r="BE144" s="586">
        <v>2047.4737312365976</v>
      </c>
      <c r="BF144" s="586">
        <v>2052.8353243075835</v>
      </c>
      <c r="BG144" s="586">
        <v>1984.3233076189651</v>
      </c>
      <c r="BH144" s="586">
        <v>1967.3126347206103</v>
      </c>
      <c r="BI144" s="586">
        <v>1977.5348837209303</v>
      </c>
      <c r="BJ144" s="586">
        <v>2084.857469993683</v>
      </c>
      <c r="BK144" s="586">
        <v>2131.2999446158715</v>
      </c>
      <c r="BL144" s="586">
        <v>2143.6819436775263</v>
      </c>
      <c r="BM144" s="586">
        <v>2073.8563380281689</v>
      </c>
      <c r="BN144" s="586">
        <v>2300.7910402197972</v>
      </c>
      <c r="BO144" s="586">
        <v>2326.6164287385909</v>
      </c>
      <c r="BP144" s="586">
        <v>2307.9060786106033</v>
      </c>
      <c r="BQ144" s="586">
        <v>2344.6145362640732</v>
      </c>
      <c r="BR144" s="586">
        <v>2368.012116504854</v>
      </c>
      <c r="BS144" s="586">
        <v>2252.978437722139</v>
      </c>
      <c r="BT144" s="586">
        <v>2241.3179516972359</v>
      </c>
      <c r="BU144" s="586">
        <v>2297.6054466954502</v>
      </c>
      <c r="BV144" s="586">
        <v>2198.0522088353414</v>
      </c>
      <c r="BW144" s="586">
        <v>2021.5031326614003</v>
      </c>
      <c r="BX144" s="586">
        <v>2002.5265144540601</v>
      </c>
      <c r="BY144" s="586">
        <v>1890.3538506703198</v>
      </c>
      <c r="BZ144" s="586">
        <v>1822.7951142631994</v>
      </c>
      <c r="CA144" s="586">
        <v>1687.8206664564279</v>
      </c>
      <c r="CB144" s="586">
        <v>1588.8602704443015</v>
      </c>
      <c r="CC144" s="586">
        <v>1552.3684032476319</v>
      </c>
      <c r="CD144" s="586">
        <v>1527.1244533743056</v>
      </c>
      <c r="CE144" s="586">
        <v>1273.9034871433603</v>
      </c>
      <c r="CF144" s="586">
        <v>1290.2680573978055</v>
      </c>
      <c r="CG144" s="586">
        <v>1292.323121170439</v>
      </c>
      <c r="CH144" s="586">
        <v>1203.3575933400607</v>
      </c>
      <c r="CI144" s="586">
        <v>1137.5975561687032</v>
      </c>
      <c r="CJ144" s="586">
        <v>1181.2559576345984</v>
      </c>
      <c r="CK144" s="586">
        <v>1033.272138554217</v>
      </c>
      <c r="CL144" s="586">
        <v>966.99722735674675</v>
      </c>
      <c r="CM144" s="586">
        <v>986.02355350742448</v>
      </c>
      <c r="CN144" s="586">
        <v>974.00968523002427</v>
      </c>
      <c r="CO144" s="586">
        <v>796.9</v>
      </c>
      <c r="CP144" s="586">
        <v>696.19117288466236</v>
      </c>
      <c r="CQ144" s="586">
        <v>621.99595857539782</v>
      </c>
      <c r="CR144" s="586">
        <v>600.77992957746471</v>
      </c>
      <c r="CS144" s="586">
        <v>583.85111740635818</v>
      </c>
      <c r="CT144" s="586">
        <v>522.79582712369597</v>
      </c>
      <c r="CU144" s="586">
        <v>452.41860465116281</v>
      </c>
      <c r="CV144" s="586">
        <v>372.84571129707109</v>
      </c>
      <c r="CW144" s="586">
        <v>312.34061135371184</v>
      </c>
      <c r="CX144" s="586">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hidden="1" x14ac:dyDescent="0.2">
      <c r="A145" s="59" t="s">
        <v>218</v>
      </c>
      <c r="B145" s="620" t="s">
        <v>368</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hidden="1" x14ac:dyDescent="0.2">
      <c r="A146" s="59" t="s">
        <v>218</v>
      </c>
      <c r="B146" s="620" t="s">
        <v>369</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hidden="1" x14ac:dyDescent="0.2">
      <c r="A147" s="59" t="s">
        <v>218</v>
      </c>
      <c r="B147" s="620" t="s">
        <v>370</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hidden="1" x14ac:dyDescent="0.2">
      <c r="A148" s="63" t="s">
        <v>218</v>
      </c>
      <c r="B148" s="621" t="s">
        <v>371</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ht="15" hidden="1" x14ac:dyDescent="0.25">
      <c r="A149" s="117"/>
      <c r="B149" s="622"/>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hidden="1" x14ac:dyDescent="0.2">
      <c r="A150" s="73" t="s">
        <v>213</v>
      </c>
      <c r="B150" s="623" t="s">
        <v>372</v>
      </c>
      <c r="C150" s="72" t="str">
        <f>CONCATENATE(A150," - ",B150)</f>
        <v>NHSE regions - East of England</v>
      </c>
      <c r="D150" s="61">
        <f t="shared" ref="D150:E156" si="35">I150</f>
        <v>2447757</v>
      </c>
      <c r="E150" s="61">
        <f t="shared" si="35"/>
        <v>2602371</v>
      </c>
      <c r="F150" s="585">
        <f t="shared" ref="F150:F156" si="36">G150+H150</f>
        <v>6398497</v>
      </c>
      <c r="G150" s="585">
        <f t="shared" ref="G150:G156" si="37">SUM(M150:CY150)</f>
        <v>3138914</v>
      </c>
      <c r="H150" s="62">
        <f t="shared" ref="H150:H156" si="38">SUM(CZ150:GL150)</f>
        <v>3259583</v>
      </c>
      <c r="I150" s="62">
        <f t="shared" ref="I150:I156" si="39">SUM(AE150:CY150)</f>
        <v>2447757</v>
      </c>
      <c r="J150" s="62">
        <f t="shared" ref="J150:J156" si="40">SUM(DR150:GL150)</f>
        <v>2602371</v>
      </c>
      <c r="K150" s="586">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hidden="1" x14ac:dyDescent="0.2">
      <c r="A151" s="64" t="s">
        <v>213</v>
      </c>
      <c r="B151" s="623" t="s">
        <v>373</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hidden="1" x14ac:dyDescent="0.2">
      <c r="A152" s="64" t="s">
        <v>213</v>
      </c>
      <c r="B152" s="623" t="s">
        <v>374</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hidden="1" x14ac:dyDescent="0.2">
      <c r="A153" s="64" t="s">
        <v>213</v>
      </c>
      <c r="B153" s="623" t="s">
        <v>375</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hidden="1" x14ac:dyDescent="0.2">
      <c r="A154" s="64" t="s">
        <v>213</v>
      </c>
      <c r="B154" s="623" t="s">
        <v>376</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hidden="1" x14ac:dyDescent="0.2">
      <c r="A155" s="64" t="s">
        <v>213</v>
      </c>
      <c r="B155" s="623" t="s">
        <v>377</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
      <c r="A156" s="140" t="s">
        <v>213</v>
      </c>
      <c r="B156" s="623" t="s">
        <v>378</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ht="15" x14ac:dyDescent="0.25">
      <c r="A157" s="118"/>
      <c r="B157" s="624"/>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584"/>
      <c r="O157" s="584"/>
      <c r="P157" s="584"/>
      <c r="Q157" s="584"/>
      <c r="R157" s="584"/>
      <c r="S157" s="584"/>
      <c r="T157" s="584"/>
      <c r="U157" s="584"/>
      <c r="V157" s="584"/>
      <c r="W157" s="584"/>
      <c r="X157" s="584"/>
      <c r="Y157" s="584"/>
      <c r="Z157" s="584"/>
      <c r="AA157" s="584"/>
      <c r="AB157" s="584"/>
      <c r="AC157" s="584"/>
      <c r="AD157" s="584"/>
      <c r="AE157" s="584"/>
      <c r="AF157" s="584"/>
      <c r="AG157" s="584"/>
      <c r="AH157" s="584"/>
      <c r="AI157" s="584"/>
      <c r="AJ157" s="584"/>
      <c r="AK157" s="584"/>
      <c r="AL157" s="584"/>
      <c r="AM157" s="584"/>
      <c r="AN157" s="584"/>
      <c r="AO157" s="584"/>
      <c r="AP157" s="584"/>
      <c r="AQ157" s="584"/>
      <c r="AR157" s="584"/>
      <c r="AS157" s="584"/>
      <c r="AT157" s="584"/>
      <c r="AU157" s="584"/>
      <c r="AV157" s="584"/>
      <c r="AW157" s="584"/>
      <c r="AX157" s="584"/>
      <c r="AY157" s="584"/>
      <c r="AZ157" s="584"/>
      <c r="BA157" s="584"/>
      <c r="BB157" s="584"/>
      <c r="BC157" s="584"/>
      <c r="BD157" s="584"/>
      <c r="BE157" s="584"/>
      <c r="BF157" s="584"/>
      <c r="BG157" s="584"/>
      <c r="BH157" s="584"/>
      <c r="BI157" s="584"/>
      <c r="BJ157" s="584"/>
      <c r="BK157" s="584"/>
      <c r="BL157" s="584"/>
      <c r="BM157" s="584"/>
      <c r="BN157" s="584"/>
      <c r="BO157" s="584"/>
      <c r="BP157" s="584"/>
      <c r="BQ157" s="584"/>
      <c r="BR157" s="584"/>
      <c r="BS157" s="584"/>
      <c r="BT157" s="584"/>
      <c r="BU157" s="584"/>
      <c r="BV157" s="584"/>
      <c r="BW157" s="584"/>
      <c r="BX157" s="584"/>
      <c r="BY157" s="584"/>
      <c r="BZ157" s="584"/>
      <c r="CA157" s="584"/>
      <c r="CB157" s="584"/>
      <c r="CC157" s="584"/>
      <c r="CD157" s="584"/>
      <c r="CE157" s="584"/>
      <c r="CF157" s="584"/>
      <c r="CG157" s="584"/>
      <c r="CH157" s="584"/>
      <c r="CI157" s="584"/>
      <c r="CJ157" s="584"/>
      <c r="CK157" s="584"/>
      <c r="CL157" s="584"/>
      <c r="CM157" s="584"/>
      <c r="CN157" s="584"/>
      <c r="CO157" s="584"/>
      <c r="CP157" s="584"/>
      <c r="CQ157" s="584"/>
      <c r="CR157" s="584"/>
      <c r="CS157" s="584"/>
      <c r="CT157" s="584"/>
      <c r="CU157" s="584"/>
      <c r="CV157" s="584"/>
      <c r="CW157" s="584"/>
      <c r="CX157" s="584"/>
      <c r="CY157" s="77"/>
      <c r="CZ157" s="119"/>
      <c r="DA157" s="584"/>
      <c r="DB157" s="584"/>
      <c r="DC157" s="584"/>
      <c r="DD157" s="584"/>
      <c r="DE157" s="584"/>
      <c r="DF157" s="584"/>
      <c r="DG157" s="584"/>
      <c r="DH157" s="584"/>
      <c r="DI157" s="584"/>
      <c r="DJ157" s="584"/>
      <c r="DK157" s="584"/>
      <c r="DL157" s="584"/>
      <c r="DM157" s="584"/>
      <c r="DN157" s="584"/>
      <c r="DO157" s="584"/>
      <c r="DP157" s="584"/>
      <c r="DQ157" s="584"/>
      <c r="DR157" s="584"/>
      <c r="DS157" s="584"/>
      <c r="DT157" s="584"/>
      <c r="DU157" s="584"/>
      <c r="DV157" s="584"/>
      <c r="DW157" s="584"/>
      <c r="DX157" s="584"/>
      <c r="DY157" s="584"/>
      <c r="DZ157" s="584"/>
      <c r="EA157" s="584"/>
      <c r="EB157" s="584"/>
      <c r="EC157" s="584"/>
      <c r="ED157" s="584"/>
      <c r="EE157" s="584"/>
      <c r="EF157" s="584"/>
      <c r="EG157" s="584"/>
      <c r="EH157" s="584"/>
      <c r="EI157" s="584"/>
      <c r="EJ157" s="584"/>
      <c r="EK157" s="584"/>
      <c r="EL157" s="584"/>
      <c r="EM157" s="584"/>
      <c r="EN157" s="584"/>
      <c r="EO157" s="584"/>
      <c r="EP157" s="584"/>
      <c r="EQ157" s="584"/>
      <c r="ER157" s="584"/>
      <c r="ES157" s="584"/>
      <c r="ET157" s="584"/>
      <c r="EU157" s="584"/>
      <c r="EV157" s="584"/>
      <c r="EW157" s="584"/>
      <c r="EX157" s="584"/>
      <c r="EY157" s="584"/>
      <c r="EZ157" s="584"/>
      <c r="FA157" s="584"/>
      <c r="FB157" s="584"/>
      <c r="FC157" s="584"/>
      <c r="FD157" s="584"/>
      <c r="FE157" s="584"/>
      <c r="FF157" s="584"/>
      <c r="FG157" s="584"/>
      <c r="FH157" s="584"/>
      <c r="FI157" s="584"/>
      <c r="FJ157" s="584"/>
      <c r="FK157" s="584"/>
      <c r="FL157" s="584"/>
      <c r="FM157" s="584"/>
      <c r="FN157" s="584"/>
      <c r="FO157" s="584"/>
      <c r="FP157" s="584"/>
      <c r="FQ157" s="584"/>
      <c r="FR157" s="584"/>
      <c r="FS157" s="584"/>
      <c r="FT157" s="584"/>
      <c r="FU157" s="584"/>
      <c r="FV157" s="584"/>
      <c r="FW157" s="584"/>
      <c r="FX157" s="584"/>
      <c r="FY157" s="584"/>
      <c r="FZ157" s="584"/>
      <c r="GA157" s="584"/>
      <c r="GB157" s="584"/>
      <c r="GC157" s="584"/>
      <c r="GD157" s="584"/>
      <c r="GE157" s="584"/>
      <c r="GF157" s="584"/>
      <c r="GG157" s="584"/>
      <c r="GH157" s="584"/>
      <c r="GI157" s="584"/>
      <c r="GJ157" s="584"/>
      <c r="GK157" s="584"/>
      <c r="GL157" s="77"/>
    </row>
    <row r="158" spans="1:194" s="1" customFormat="1" x14ac:dyDescent="0.2">
      <c r="A158" s="108" t="s">
        <v>950</v>
      </c>
      <c r="B158" s="625" t="s">
        <v>951</v>
      </c>
      <c r="C158" s="587" t="str">
        <f t="shared" si="43"/>
        <v>England ICB - NHS Bath and North East Somerset, Swindon and Wiltshire Integrated Care Board</v>
      </c>
      <c r="D158" s="79">
        <f t="shared" ref="D158:E163" si="45">I158</f>
        <v>372192</v>
      </c>
      <c r="E158" s="79">
        <f t="shared" si="45"/>
        <v>388592</v>
      </c>
      <c r="F158" s="109">
        <f t="shared" ref="F158:F163" si="46">G158+H158</f>
        <v>953852</v>
      </c>
      <c r="G158" s="585">
        <f t="shared" ref="G158:G163" si="47">SUM(M158:CY158)</f>
        <v>470982</v>
      </c>
      <c r="H158" s="62">
        <f t="shared" ref="H158:H163" si="48">SUM(CZ158:GL158)</f>
        <v>482870</v>
      </c>
      <c r="I158" s="585">
        <f t="shared" ref="I158:I163" si="49">SUM(AE158:CY158)</f>
        <v>372192</v>
      </c>
      <c r="J158" s="104">
        <f t="shared" ref="J158:J163" si="50">SUM(DR158:GL158)</f>
        <v>388592</v>
      </c>
      <c r="K158" s="106">
        <f t="shared" ref="K158:K163" si="51">SUM(M158:AD158)</f>
        <v>98790</v>
      </c>
      <c r="L158" s="61">
        <f t="shared" ref="L158:L163" si="52">SUM(CZ158:DQ158)</f>
        <v>94278</v>
      </c>
      <c r="M158" s="106">
        <v>4647</v>
      </c>
      <c r="N158" s="586">
        <v>4706</v>
      </c>
      <c r="O158" s="586">
        <v>4907</v>
      </c>
      <c r="P158" s="586">
        <v>5108</v>
      </c>
      <c r="Q158" s="586">
        <v>5293</v>
      </c>
      <c r="R158" s="586">
        <v>5287</v>
      </c>
      <c r="S158" s="586">
        <v>5628</v>
      </c>
      <c r="T158" s="586">
        <v>5623</v>
      </c>
      <c r="U158" s="586">
        <v>5617</v>
      </c>
      <c r="V158" s="586">
        <v>5799</v>
      </c>
      <c r="W158" s="586">
        <v>6160</v>
      </c>
      <c r="X158" s="586">
        <v>6033</v>
      </c>
      <c r="Y158" s="586">
        <v>5955</v>
      </c>
      <c r="Z158" s="586">
        <v>5803</v>
      </c>
      <c r="AA158" s="586">
        <v>5710</v>
      </c>
      <c r="AB158" s="586">
        <v>5605</v>
      </c>
      <c r="AC158" s="586">
        <v>5496</v>
      </c>
      <c r="AD158" s="586">
        <v>5413</v>
      </c>
      <c r="AE158" s="586">
        <v>5967</v>
      </c>
      <c r="AF158" s="586">
        <v>6678</v>
      </c>
      <c r="AG158" s="586">
        <v>6216</v>
      </c>
      <c r="AH158" s="586">
        <v>5569</v>
      </c>
      <c r="AI158" s="586">
        <v>5932</v>
      </c>
      <c r="AJ158" s="586">
        <v>5961</v>
      </c>
      <c r="AK158" s="586">
        <v>5644</v>
      </c>
      <c r="AL158" s="586">
        <v>5569</v>
      </c>
      <c r="AM158" s="586">
        <v>5603</v>
      </c>
      <c r="AN158" s="586">
        <v>5436</v>
      </c>
      <c r="AO158" s="586">
        <v>5723</v>
      </c>
      <c r="AP158" s="586">
        <v>5509</v>
      </c>
      <c r="AQ158" s="586">
        <v>5906</v>
      </c>
      <c r="AR158" s="586">
        <v>5926</v>
      </c>
      <c r="AS158" s="586">
        <v>5999</v>
      </c>
      <c r="AT158" s="586">
        <v>5968</v>
      </c>
      <c r="AU158" s="586">
        <v>6124</v>
      </c>
      <c r="AV158" s="586">
        <v>6089</v>
      </c>
      <c r="AW158" s="586">
        <v>6037</v>
      </c>
      <c r="AX158" s="586">
        <v>5950</v>
      </c>
      <c r="AY158" s="586">
        <v>6029</v>
      </c>
      <c r="AZ158" s="586">
        <v>5880</v>
      </c>
      <c r="BA158" s="586">
        <v>5821</v>
      </c>
      <c r="BB158" s="586">
        <v>5960</v>
      </c>
      <c r="BC158" s="586">
        <v>6033</v>
      </c>
      <c r="BD158" s="586">
        <v>5922</v>
      </c>
      <c r="BE158" s="586">
        <v>5375</v>
      </c>
      <c r="BF158" s="586">
        <v>5274</v>
      </c>
      <c r="BG158" s="586">
        <v>5437</v>
      </c>
      <c r="BH158" s="586">
        <v>5820</v>
      </c>
      <c r="BI158" s="586">
        <v>5866</v>
      </c>
      <c r="BJ158" s="586">
        <v>6432</v>
      </c>
      <c r="BK158" s="586">
        <v>6631</v>
      </c>
      <c r="BL158" s="586">
        <v>6700</v>
      </c>
      <c r="BM158" s="586">
        <v>6536</v>
      </c>
      <c r="BN158" s="586">
        <v>6527</v>
      </c>
      <c r="BO158" s="586">
        <v>6586</v>
      </c>
      <c r="BP158" s="586">
        <v>6746</v>
      </c>
      <c r="BQ158" s="586">
        <v>6723</v>
      </c>
      <c r="BR158" s="586">
        <v>6887</v>
      </c>
      <c r="BS158" s="586">
        <v>6661</v>
      </c>
      <c r="BT158" s="586">
        <v>6550</v>
      </c>
      <c r="BU158" s="586">
        <v>6440</v>
      </c>
      <c r="BV158" s="586">
        <v>6192</v>
      </c>
      <c r="BW158" s="586">
        <v>5977</v>
      </c>
      <c r="BX158" s="586">
        <v>5691</v>
      </c>
      <c r="BY158" s="586">
        <v>5371</v>
      </c>
      <c r="BZ158" s="586">
        <v>5135</v>
      </c>
      <c r="CA158" s="586">
        <v>4863</v>
      </c>
      <c r="CB158" s="586">
        <v>4730</v>
      </c>
      <c r="CC158" s="586">
        <v>4797</v>
      </c>
      <c r="CD158" s="586">
        <v>4544</v>
      </c>
      <c r="CE158" s="586">
        <v>4485</v>
      </c>
      <c r="CF158" s="586">
        <v>4422</v>
      </c>
      <c r="CG158" s="586">
        <v>4421</v>
      </c>
      <c r="CH158" s="586">
        <v>4529</v>
      </c>
      <c r="CI158" s="586">
        <v>4861</v>
      </c>
      <c r="CJ158" s="586">
        <v>5197</v>
      </c>
      <c r="CK158" s="586">
        <v>3865</v>
      </c>
      <c r="CL158" s="586">
        <v>3773</v>
      </c>
      <c r="CM158" s="586">
        <v>3497</v>
      </c>
      <c r="CN158" s="586">
        <v>3141</v>
      </c>
      <c r="CO158" s="586">
        <v>2804</v>
      </c>
      <c r="CP158" s="586">
        <v>2380</v>
      </c>
      <c r="CQ158" s="586">
        <v>2335</v>
      </c>
      <c r="CR158" s="586">
        <v>2209</v>
      </c>
      <c r="CS158" s="586">
        <v>2008</v>
      </c>
      <c r="CT158" s="586">
        <v>1804</v>
      </c>
      <c r="CU158" s="586">
        <v>1625</v>
      </c>
      <c r="CV158" s="586">
        <v>1368</v>
      </c>
      <c r="CW158" s="586">
        <v>1144</v>
      </c>
      <c r="CX158" s="586">
        <v>1023</v>
      </c>
      <c r="CY158" s="61">
        <v>3359</v>
      </c>
      <c r="CZ158" s="106">
        <v>4395</v>
      </c>
      <c r="DA158" s="586">
        <v>4569</v>
      </c>
      <c r="DB158" s="586">
        <v>4724</v>
      </c>
      <c r="DC158" s="586">
        <v>4830</v>
      </c>
      <c r="DD158" s="586">
        <v>5033</v>
      </c>
      <c r="DE158" s="586">
        <v>5193</v>
      </c>
      <c r="DF158" s="586">
        <v>5362</v>
      </c>
      <c r="DG158" s="586">
        <v>5295</v>
      </c>
      <c r="DH158" s="586">
        <v>5344</v>
      </c>
      <c r="DI158" s="586">
        <v>5565</v>
      </c>
      <c r="DJ158" s="586">
        <v>5551</v>
      </c>
      <c r="DK158" s="586">
        <v>5719</v>
      </c>
      <c r="DL158" s="586">
        <v>5546</v>
      </c>
      <c r="DM158" s="586">
        <v>5549</v>
      </c>
      <c r="DN158" s="586">
        <v>5624</v>
      </c>
      <c r="DO158" s="586">
        <v>5574</v>
      </c>
      <c r="DP158" s="586">
        <v>5184</v>
      </c>
      <c r="DQ158" s="586">
        <v>5221</v>
      </c>
      <c r="DR158" s="586">
        <v>5415</v>
      </c>
      <c r="DS158" s="586">
        <v>5600</v>
      </c>
      <c r="DT158" s="586">
        <v>5189</v>
      </c>
      <c r="DU158" s="586">
        <v>4912</v>
      </c>
      <c r="DV158" s="586">
        <v>5426</v>
      </c>
      <c r="DW158" s="586">
        <v>5137</v>
      </c>
      <c r="DX158" s="586">
        <v>5128</v>
      </c>
      <c r="DY158" s="586">
        <v>5294</v>
      </c>
      <c r="DZ158" s="586">
        <v>5013</v>
      </c>
      <c r="EA158" s="586">
        <v>5302</v>
      </c>
      <c r="EB158" s="586">
        <v>5698</v>
      </c>
      <c r="EC158" s="586">
        <v>5815</v>
      </c>
      <c r="ED158" s="586">
        <v>5939</v>
      </c>
      <c r="EE158" s="586">
        <v>6272</v>
      </c>
      <c r="EF158" s="586">
        <v>6263</v>
      </c>
      <c r="EG158" s="586">
        <v>6313</v>
      </c>
      <c r="EH158" s="586">
        <v>6318</v>
      </c>
      <c r="EI158" s="586">
        <v>6535</v>
      </c>
      <c r="EJ158" s="586">
        <v>6131</v>
      </c>
      <c r="EK158" s="586">
        <v>6244</v>
      </c>
      <c r="EL158" s="586">
        <v>6165</v>
      </c>
      <c r="EM158" s="586">
        <v>5942</v>
      </c>
      <c r="EN158" s="586">
        <v>6211</v>
      </c>
      <c r="EO158" s="586">
        <v>6218</v>
      </c>
      <c r="EP158" s="586">
        <v>6104</v>
      </c>
      <c r="EQ158" s="586">
        <v>5799</v>
      </c>
      <c r="ER158" s="586">
        <v>5574</v>
      </c>
      <c r="ES158" s="586">
        <v>5586</v>
      </c>
      <c r="ET158" s="586">
        <v>5770</v>
      </c>
      <c r="EU158" s="586">
        <v>5831</v>
      </c>
      <c r="EV158" s="586">
        <v>6251</v>
      </c>
      <c r="EW158" s="586">
        <v>6563</v>
      </c>
      <c r="EX158" s="586">
        <v>6923</v>
      </c>
      <c r="EY158" s="586">
        <v>6736</v>
      </c>
      <c r="EZ158" s="586">
        <v>6661</v>
      </c>
      <c r="FA158" s="586">
        <v>6860</v>
      </c>
      <c r="FB158" s="586">
        <v>6795</v>
      </c>
      <c r="FC158" s="586">
        <v>7093</v>
      </c>
      <c r="FD158" s="586">
        <v>7056</v>
      </c>
      <c r="FE158" s="586">
        <v>6890</v>
      </c>
      <c r="FF158" s="586">
        <v>6926</v>
      </c>
      <c r="FG158" s="586">
        <v>6551</v>
      </c>
      <c r="FH158" s="586">
        <v>6513</v>
      </c>
      <c r="FI158" s="586">
        <v>6413</v>
      </c>
      <c r="FJ158" s="586">
        <v>5897</v>
      </c>
      <c r="FK158" s="586">
        <v>5838</v>
      </c>
      <c r="FL158" s="586">
        <v>5643</v>
      </c>
      <c r="FM158" s="586">
        <v>5384</v>
      </c>
      <c r="FN158" s="586">
        <v>5189</v>
      </c>
      <c r="FO158" s="586">
        <v>5034</v>
      </c>
      <c r="FP158" s="586">
        <v>5088</v>
      </c>
      <c r="FQ158" s="586">
        <v>5112</v>
      </c>
      <c r="FR158" s="586">
        <v>4845</v>
      </c>
      <c r="FS158" s="586">
        <v>4831</v>
      </c>
      <c r="FT158" s="586">
        <v>4917</v>
      </c>
      <c r="FU158" s="586">
        <v>5074</v>
      </c>
      <c r="FV158" s="586">
        <v>5409</v>
      </c>
      <c r="FW158" s="586">
        <v>5546</v>
      </c>
      <c r="FX158" s="586">
        <v>4375</v>
      </c>
      <c r="FY158" s="586">
        <v>4296</v>
      </c>
      <c r="FZ158" s="586">
        <v>4189</v>
      </c>
      <c r="GA158" s="586">
        <v>3718</v>
      </c>
      <c r="GB158" s="586">
        <v>3306</v>
      </c>
      <c r="GC158" s="586">
        <v>2846</v>
      </c>
      <c r="GD158" s="586">
        <v>2931</v>
      </c>
      <c r="GE158" s="586">
        <v>2828</v>
      </c>
      <c r="GF158" s="586">
        <v>2632</v>
      </c>
      <c r="GG158" s="586">
        <v>2327</v>
      </c>
      <c r="GH158" s="586">
        <v>2137</v>
      </c>
      <c r="GI158" s="586">
        <v>1982</v>
      </c>
      <c r="GJ158" s="586">
        <v>1693</v>
      </c>
      <c r="GK158" s="586">
        <v>1476</v>
      </c>
      <c r="GL158" s="61">
        <v>6674</v>
      </c>
    </row>
    <row r="159" spans="1:194" s="1" customFormat="1" x14ac:dyDescent="0.2">
      <c r="A159" s="110" t="s">
        <v>950</v>
      </c>
      <c r="B159" s="626" t="s">
        <v>952</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
      <c r="A160" s="110" t="s">
        <v>950</v>
      </c>
      <c r="B160" s="626" t="s">
        <v>953</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
      <c r="A161" s="110" t="s">
        <v>950</v>
      </c>
      <c r="B161" s="626" t="s">
        <v>954</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
      <c r="A162" s="110" t="s">
        <v>950</v>
      </c>
      <c r="B162" s="626" t="s">
        <v>955</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
      <c r="A163" s="110" t="s">
        <v>950</v>
      </c>
      <c r="B163" s="626" t="s">
        <v>956</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
      <c r="A164" s="110" t="s">
        <v>950</v>
      </c>
      <c r="B164" s="626" t="s">
        <v>957</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
      <c r="A165" s="110" t="s">
        <v>950</v>
      </c>
      <c r="B165" s="626" t="s">
        <v>958</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
      <c r="A166" s="110" t="s">
        <v>950</v>
      </c>
      <c r="B166" s="626" t="s">
        <v>959</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
      <c r="A167" s="110" t="s">
        <v>950</v>
      </c>
      <c r="B167" s="626" t="s">
        <v>960</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
      <c r="A168" s="110" t="s">
        <v>950</v>
      </c>
      <c r="B168" s="626" t="s">
        <v>961</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
      <c r="A169" s="110" t="s">
        <v>950</v>
      </c>
      <c r="B169" s="626" t="s">
        <v>962</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
      <c r="A170" s="110" t="s">
        <v>950</v>
      </c>
      <c r="B170" s="626" t="s">
        <v>963</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
      <c r="A171" s="110" t="s">
        <v>950</v>
      </c>
      <c r="B171" s="626" t="s">
        <v>964</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
      <c r="A172" s="110" t="s">
        <v>950</v>
      </c>
      <c r="B172" s="626" t="s">
        <v>965</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
      <c r="A173" s="110" t="s">
        <v>950</v>
      </c>
      <c r="B173" s="626" t="s">
        <v>966</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
      <c r="A174" s="110" t="s">
        <v>950</v>
      </c>
      <c r="B174" s="626" t="s">
        <v>967</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
      <c r="A175" s="110" t="s">
        <v>950</v>
      </c>
      <c r="B175" s="626" t="s">
        <v>968</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
      <c r="A176" s="110" t="s">
        <v>950</v>
      </c>
      <c r="B176" s="626" t="s">
        <v>969</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
      <c r="A177" s="110" t="s">
        <v>950</v>
      </c>
      <c r="B177" s="626" t="s">
        <v>970</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
      <c r="A178" s="110" t="s">
        <v>950</v>
      </c>
      <c r="B178" s="626" t="s">
        <v>971</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
      <c r="A179" s="110" t="s">
        <v>950</v>
      </c>
      <c r="B179" s="626" t="s">
        <v>972</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
      <c r="A180" s="110" t="s">
        <v>950</v>
      </c>
      <c r="B180" s="626" t="s">
        <v>973</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
      <c r="A181" s="110" t="s">
        <v>950</v>
      </c>
      <c r="B181" s="626" t="s">
        <v>974</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
      <c r="A182" s="110" t="s">
        <v>950</v>
      </c>
      <c r="B182" s="626" t="s">
        <v>975</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
      <c r="A183" s="110" t="s">
        <v>950</v>
      </c>
      <c r="B183" s="626" t="s">
        <v>976</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
      <c r="A184" s="110" t="s">
        <v>950</v>
      </c>
      <c r="B184" s="626" t="s">
        <v>977</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
      <c r="A185" s="110" t="s">
        <v>950</v>
      </c>
      <c r="B185" s="626" t="s">
        <v>978</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
      <c r="A186" s="110" t="s">
        <v>950</v>
      </c>
      <c r="B186" s="626" t="s">
        <v>979</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
      <c r="A187" s="110" t="s">
        <v>950</v>
      </c>
      <c r="B187" s="626" t="s">
        <v>980</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
      <c r="A188" s="110" t="s">
        <v>950</v>
      </c>
      <c r="B188" s="626" t="s">
        <v>981</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
      <c r="A189" s="110" t="s">
        <v>950</v>
      </c>
      <c r="B189" s="626" t="s">
        <v>982</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
      <c r="A190" s="110" t="s">
        <v>950</v>
      </c>
      <c r="B190" s="626" t="s">
        <v>983</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
      <c r="A191" s="110" t="s">
        <v>950</v>
      </c>
      <c r="B191" s="626" t="s">
        <v>984</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
      <c r="A192" s="110" t="s">
        <v>950</v>
      </c>
      <c r="B192" s="626" t="s">
        <v>985</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
      <c r="A193" s="110" t="s">
        <v>950</v>
      </c>
      <c r="B193" s="626" t="s">
        <v>986</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
      <c r="A194" s="110" t="s">
        <v>950</v>
      </c>
      <c r="B194" s="626" t="s">
        <v>987</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
      <c r="A195" s="110" t="s">
        <v>950</v>
      </c>
      <c r="B195" s="626" t="s">
        <v>988</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
      <c r="A196" s="110" t="s">
        <v>950</v>
      </c>
      <c r="B196" s="626" t="s">
        <v>989</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
      <c r="A197" s="110" t="s">
        <v>950</v>
      </c>
      <c r="B197" s="626" t="s">
        <v>990</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
      <c r="A198" s="110" t="s">
        <v>950</v>
      </c>
      <c r="B198" s="626" t="s">
        <v>991</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
      <c r="A199" s="110" t="s">
        <v>950</v>
      </c>
      <c r="B199" s="626" t="s">
        <v>992</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ht="15" x14ac:dyDescent="0.25">
      <c r="A200" s="113"/>
      <c r="B200" s="627"/>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2">
      <c r="A201" s="31" t="s">
        <v>233</v>
      </c>
      <c r="B201" s="1" t="s">
        <v>381</v>
      </c>
      <c r="C201" s="72" t="str">
        <f>CONCATENATE(A201," - ",B201)</f>
        <v>LA England - Adur</v>
      </c>
      <c r="D201" s="61">
        <f t="shared" ref="D201:D265" si="73">I201</f>
        <v>24443</v>
      </c>
      <c r="E201" s="61">
        <f t="shared" ref="E201:E265" si="74">J201</f>
        <v>27108</v>
      </c>
      <c r="F201" s="585">
        <f t="shared" ref="F201:F265" si="75">G201+H201</f>
        <v>64688</v>
      </c>
      <c r="G201" s="585">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
      <c r="A202" s="31" t="s">
        <v>233</v>
      </c>
      <c r="B202" s="1" t="s">
        <v>382</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
      <c r="A203" s="31" t="s">
        <v>233</v>
      </c>
      <c r="B203" s="1" t="s">
        <v>383</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
      <c r="A204" s="31" t="s">
        <v>233</v>
      </c>
      <c r="B204" s="1" t="s">
        <v>384</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
      <c r="A205" s="31" t="s">
        <v>233</v>
      </c>
      <c r="B205" s="1" t="s">
        <v>385</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
      <c r="A206" s="31" t="s">
        <v>233</v>
      </c>
      <c r="B206" s="1" t="s">
        <v>386</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
      <c r="A207" s="31" t="s">
        <v>233</v>
      </c>
      <c r="B207" s="1" t="s">
        <v>387</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
      <c r="A208" s="31" t="s">
        <v>233</v>
      </c>
      <c r="B208" s="1" t="s">
        <v>388</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
      <c r="A209" s="31" t="s">
        <v>233</v>
      </c>
      <c r="B209" s="1" t="s">
        <v>389</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
      <c r="A210" s="31" t="s">
        <v>233</v>
      </c>
      <c r="B210" s="1" t="s">
        <v>390</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
      <c r="A211" s="31" t="s">
        <v>233</v>
      </c>
      <c r="B211" s="1" t="s">
        <v>391</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
      <c r="A212" s="31" t="s">
        <v>233</v>
      </c>
      <c r="B212" s="1" t="s">
        <v>392</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
      <c r="A213" s="31" t="s">
        <v>233</v>
      </c>
      <c r="B213" s="1" t="s">
        <v>393</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
      <c r="A214" s="31" t="s">
        <v>233</v>
      </c>
      <c r="B214" s="1" t="s">
        <v>394</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
      <c r="A215" s="31" t="s">
        <v>233</v>
      </c>
      <c r="B215" s="1" t="s">
        <v>395</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
      <c r="A216" s="31" t="s">
        <v>233</v>
      </c>
      <c r="B216" s="1" t="s">
        <v>396</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
      <c r="A217" s="31" t="s">
        <v>233</v>
      </c>
      <c r="B217" s="1" t="s">
        <v>397</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
      <c r="A218" s="31" t="s">
        <v>233</v>
      </c>
      <c r="B218" s="1" t="s">
        <v>398</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
      <c r="A219" s="31" t="s">
        <v>233</v>
      </c>
      <c r="B219" s="1" t="s">
        <v>399</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
      <c r="A220" s="31" t="s">
        <v>233</v>
      </c>
      <c r="B220" s="1" t="s">
        <v>400</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
      <c r="A221" s="31" t="s">
        <v>233</v>
      </c>
      <c r="B221" s="1" t="s">
        <v>401</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
      <c r="A222" s="31" t="s">
        <v>233</v>
      </c>
      <c r="B222" s="1" t="s">
        <v>402</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
      <c r="A223" s="31" t="s">
        <v>233</v>
      </c>
      <c r="B223" s="1" t="s">
        <v>403</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
      <c r="A224" s="31" t="s">
        <v>233</v>
      </c>
      <c r="B224" s="1" t="s">
        <v>404</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
      <c r="A225" s="31" t="s">
        <v>233</v>
      </c>
      <c r="B225" s="1" t="s">
        <v>405</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
      <c r="A226" s="31" t="s">
        <v>233</v>
      </c>
      <c r="B226" s="1" t="s">
        <v>406</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
      <c r="A227" s="31" t="s">
        <v>233</v>
      </c>
      <c r="B227" s="1" t="s">
        <v>407</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
      <c r="A228" s="31" t="s">
        <v>233</v>
      </c>
      <c r="B228" s="1" t="s">
        <v>408</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
      <c r="A229" s="31" t="s">
        <v>233</v>
      </c>
      <c r="B229" s="1" t="s">
        <v>409</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
      <c r="A230" s="31" t="s">
        <v>233</v>
      </c>
      <c r="B230" s="1" t="s">
        <v>410</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
      <c r="A231" s="31" t="s">
        <v>233</v>
      </c>
      <c r="B231" s="1" t="s">
        <v>411</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
      <c r="A232" s="31" t="s">
        <v>233</v>
      </c>
      <c r="B232" s="1" t="s">
        <v>412</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
      <c r="A233" s="31" t="s">
        <v>233</v>
      </c>
      <c r="B233" s="1" t="s">
        <v>413</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
      <c r="A234" s="31" t="s">
        <v>233</v>
      </c>
      <c r="B234" s="1" t="s">
        <v>414</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
      <c r="A235" s="31" t="s">
        <v>233</v>
      </c>
      <c r="B235" s="1" t="s">
        <v>415</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
      <c r="A236" s="31" t="s">
        <v>233</v>
      </c>
      <c r="B236" s="1" t="s">
        <v>416</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
      <c r="A237" s="31" t="s">
        <v>233</v>
      </c>
      <c r="B237" s="1" t="s">
        <v>417</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
      <c r="A238" s="31" t="s">
        <v>233</v>
      </c>
      <c r="B238" s="1" t="s">
        <v>418</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
      <c r="A239" s="31" t="s">
        <v>233</v>
      </c>
      <c r="B239" s="1" t="s">
        <v>419</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
      <c r="A240" s="31" t="s">
        <v>233</v>
      </c>
      <c r="B240" s="1" t="s">
        <v>420</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
      <c r="A241" s="31" t="s">
        <v>233</v>
      </c>
      <c r="B241" s="1" t="s">
        <v>421</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
      <c r="A242" s="31" t="s">
        <v>233</v>
      </c>
      <c r="B242" s="1" t="s">
        <v>422</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
      <c r="A243" s="31" t="s">
        <v>233</v>
      </c>
      <c r="B243" s="1" t="s">
        <v>423</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
      <c r="A244" s="31" t="s">
        <v>233</v>
      </c>
      <c r="B244" s="1" t="s">
        <v>424</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
      <c r="A245" s="31" t="s">
        <v>233</v>
      </c>
      <c r="B245" s="1" t="s">
        <v>425</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
      <c r="A246" s="31" t="s">
        <v>233</v>
      </c>
      <c r="B246" s="1" t="s">
        <v>426</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
      <c r="A247" s="31" t="s">
        <v>233</v>
      </c>
      <c r="B247" s="1" t="s">
        <v>427</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
      <c r="A248" s="31" t="s">
        <v>233</v>
      </c>
      <c r="B248" s="1" t="s">
        <v>428</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
      <c r="A249" s="31" t="s">
        <v>233</v>
      </c>
      <c r="B249" s="1" t="s">
        <v>429</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
      <c r="A250" s="31" t="s">
        <v>233</v>
      </c>
      <c r="B250" s="1" t="s">
        <v>430</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
      <c r="A251" s="31" t="s">
        <v>233</v>
      </c>
      <c r="B251" s="1" t="s">
        <v>431</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
      <c r="A252" s="31" t="s">
        <v>233</v>
      </c>
      <c r="B252" s="1" t="s">
        <v>432</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
      <c r="A253" s="31" t="s">
        <v>233</v>
      </c>
      <c r="B253" s="1" t="s">
        <v>433</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
      <c r="A254" s="31" t="s">
        <v>233</v>
      </c>
      <c r="B254" s="1" t="s">
        <v>434</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
      <c r="A255" s="31" t="s">
        <v>233</v>
      </c>
      <c r="B255" s="1" t="s">
        <v>435</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
      <c r="A256" s="31" t="s">
        <v>233</v>
      </c>
      <c r="B256" s="1" t="s">
        <v>436</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
      <c r="A257" s="31" t="s">
        <v>233</v>
      </c>
      <c r="B257" s="1" t="s">
        <v>437</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
      <c r="A258" s="31" t="s">
        <v>233</v>
      </c>
      <c r="B258" s="1" t="s">
        <v>438</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
      <c r="A259" s="31" t="s">
        <v>233</v>
      </c>
      <c r="B259" s="1" t="s">
        <v>439</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
      <c r="A260" s="31" t="s">
        <v>233</v>
      </c>
      <c r="B260" s="1" t="s">
        <v>440</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
      <c r="A261" s="31" t="s">
        <v>233</v>
      </c>
      <c r="B261" s="1" t="s">
        <v>441</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
      <c r="A262" s="31" t="s">
        <v>233</v>
      </c>
      <c r="B262" s="1" t="s">
        <v>442</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
      <c r="A263" s="31" t="s">
        <v>233</v>
      </c>
      <c r="B263" s="1" t="s">
        <v>443</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
      <c r="A264" s="31" t="s">
        <v>233</v>
      </c>
      <c r="B264" s="1" t="s">
        <v>993</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
      <c r="A265" s="31" t="s">
        <v>233</v>
      </c>
      <c r="B265" s="1" t="s">
        <v>444</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
      <c r="A266" s="31" t="s">
        <v>233</v>
      </c>
      <c r="B266" s="1" t="s">
        <v>445</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
      <c r="A267" s="31" t="s">
        <v>233</v>
      </c>
      <c r="B267" s="1" t="s">
        <v>446</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
      <c r="A268" s="31" t="s">
        <v>233</v>
      </c>
      <c r="B268" s="1" t="s">
        <v>447</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
      <c r="A269" s="31" t="s">
        <v>233</v>
      </c>
      <c r="B269" s="1" t="s">
        <v>448</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
      <c r="A270" s="31" t="s">
        <v>233</v>
      </c>
      <c r="B270" s="1" t="s">
        <v>449</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
      <c r="A271" s="31" t="s">
        <v>233</v>
      </c>
      <c r="B271" s="1" t="s">
        <v>379</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
      <c r="A272" s="31" t="s">
        <v>233</v>
      </c>
      <c r="B272" s="1" t="s">
        <v>450</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
      <c r="A273" s="31" t="s">
        <v>233</v>
      </c>
      <c r="B273" s="1" t="s">
        <v>451</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
      <c r="A274" s="31" t="s">
        <v>233</v>
      </c>
      <c r="B274" s="1" t="s">
        <v>452</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
      <c r="A275" s="31" t="s">
        <v>233</v>
      </c>
      <c r="B275" s="1" t="s">
        <v>453</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
      <c r="A276" s="31" t="s">
        <v>233</v>
      </c>
      <c r="B276" s="1" t="s">
        <v>454</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
      <c r="A277" s="31" t="s">
        <v>233</v>
      </c>
      <c r="B277" s="1" t="s">
        <v>455</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
      <c r="A278" s="31" t="s">
        <v>233</v>
      </c>
      <c r="B278" s="1" t="s">
        <v>456</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
      <c r="A279" s="31" t="s">
        <v>233</v>
      </c>
      <c r="B279" s="1" t="s">
        <v>457</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
      <c r="A280" s="31" t="s">
        <v>233</v>
      </c>
      <c r="B280" s="1" t="s">
        <v>458</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
      <c r="A281" s="31" t="s">
        <v>233</v>
      </c>
      <c r="B281" s="1" t="s">
        <v>459</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
      <c r="A282" s="31" t="s">
        <v>233</v>
      </c>
      <c r="B282" s="1" t="s">
        <v>460</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
      <c r="A283" s="31" t="s">
        <v>233</v>
      </c>
      <c r="B283" s="1" t="s">
        <v>461</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
      <c r="A284" s="31" t="s">
        <v>233</v>
      </c>
      <c r="B284" s="1" t="s">
        <v>462</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
      <c r="A285" s="31" t="s">
        <v>233</v>
      </c>
      <c r="B285" s="1" t="s">
        <v>463</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
      <c r="A286" s="31" t="s">
        <v>233</v>
      </c>
      <c r="B286" s="1" t="s">
        <v>464</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
      <c r="A287" s="31" t="s">
        <v>233</v>
      </c>
      <c r="B287" s="1" t="s">
        <v>465</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
      <c r="A288" s="31" t="s">
        <v>233</v>
      </c>
      <c r="B288" s="1" t="s">
        <v>466</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
      <c r="A289" s="31" t="s">
        <v>233</v>
      </c>
      <c r="B289" s="1" t="s">
        <v>467</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
      <c r="A290" s="31" t="s">
        <v>233</v>
      </c>
      <c r="B290" s="1" t="s">
        <v>468</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
      <c r="A291" s="31" t="s">
        <v>233</v>
      </c>
      <c r="B291" s="1" t="s">
        <v>469</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
      <c r="A292" s="31" t="s">
        <v>233</v>
      </c>
      <c r="B292" s="1" t="s">
        <v>470</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
      <c r="A293" s="31" t="s">
        <v>233</v>
      </c>
      <c r="B293" s="1" t="s">
        <v>471</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
      <c r="A294" s="31" t="s">
        <v>233</v>
      </c>
      <c r="B294" s="1" t="s">
        <v>472</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
      <c r="A295" s="31" t="s">
        <v>233</v>
      </c>
      <c r="B295" s="1" t="s">
        <v>473</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
      <c r="A296" s="31" t="s">
        <v>233</v>
      </c>
      <c r="B296" s="1" t="s">
        <v>474</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
      <c r="A297" s="31" t="s">
        <v>233</v>
      </c>
      <c r="B297" s="1" t="s">
        <v>475</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
      <c r="A298" s="31" t="s">
        <v>233</v>
      </c>
      <c r="B298" s="1" t="s">
        <v>476</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
      <c r="A299" s="31" t="s">
        <v>233</v>
      </c>
      <c r="B299" s="1" t="s">
        <v>477</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
      <c r="A300" s="31" t="s">
        <v>233</v>
      </c>
      <c r="B300" s="1" t="s">
        <v>478</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
      <c r="A301" s="31" t="s">
        <v>233</v>
      </c>
      <c r="B301" s="1" t="s">
        <v>479</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
      <c r="A302" s="31" t="s">
        <v>233</v>
      </c>
      <c r="B302" s="1" t="s">
        <v>480</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
      <c r="A303" s="31" t="s">
        <v>233</v>
      </c>
      <c r="B303" s="1" t="s">
        <v>481</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
      <c r="A304" s="31" t="s">
        <v>233</v>
      </c>
      <c r="B304" s="1" t="s">
        <v>482</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
      <c r="A305" s="31" t="s">
        <v>233</v>
      </c>
      <c r="B305" s="1" t="s">
        <v>483</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
      <c r="A306" s="31" t="s">
        <v>233</v>
      </c>
      <c r="B306" s="1" t="s">
        <v>484</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
      <c r="A307" s="31" t="s">
        <v>233</v>
      </c>
      <c r="B307" s="1" t="s">
        <v>485</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
      <c r="A308" s="31" t="s">
        <v>233</v>
      </c>
      <c r="B308" s="1" t="s">
        <v>486</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
      <c r="A309" s="31" t="s">
        <v>233</v>
      </c>
      <c r="B309" s="1" t="s">
        <v>487</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
      <c r="A310" s="31" t="s">
        <v>233</v>
      </c>
      <c r="B310" s="1" t="s">
        <v>488</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
      <c r="A311" s="31" t="s">
        <v>233</v>
      </c>
      <c r="B311" s="1" t="s">
        <v>489</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
      <c r="A312" s="31" t="s">
        <v>233</v>
      </c>
      <c r="B312" s="1" t="s">
        <v>490</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
      <c r="A313" s="31" t="s">
        <v>233</v>
      </c>
      <c r="B313" s="1" t="s">
        <v>491</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
      <c r="A314" s="31" t="s">
        <v>233</v>
      </c>
      <c r="B314" s="1" t="s">
        <v>492</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
      <c r="A315" s="31" t="s">
        <v>233</v>
      </c>
      <c r="B315" s="1" t="s">
        <v>493</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
      <c r="A316" s="31" t="s">
        <v>233</v>
      </c>
      <c r="B316" s="1" t="s">
        <v>494</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
      <c r="A317" s="31" t="s">
        <v>233</v>
      </c>
      <c r="B317" s="1" t="s">
        <v>495</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
      <c r="A318" s="31" t="s">
        <v>233</v>
      </c>
      <c r="B318" s="1" t="s">
        <v>496</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
      <c r="A319" s="31" t="s">
        <v>233</v>
      </c>
      <c r="B319" s="1" t="s">
        <v>497</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
      <c r="A320" s="31" t="s">
        <v>233</v>
      </c>
      <c r="B320" s="1" t="s">
        <v>498</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
      <c r="A321" s="31" t="s">
        <v>233</v>
      </c>
      <c r="B321" s="1" t="s">
        <v>499</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
      <c r="A322" s="31" t="s">
        <v>233</v>
      </c>
      <c r="B322" s="1" t="s">
        <v>500</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
      <c r="A323" s="31" t="s">
        <v>233</v>
      </c>
      <c r="B323" s="1" t="s">
        <v>501</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
      <c r="A324" s="31" t="s">
        <v>233</v>
      </c>
      <c r="B324" s="1" t="s">
        <v>502</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
      <c r="A325" s="31" t="s">
        <v>233</v>
      </c>
      <c r="B325" s="1" t="s">
        <v>503</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
      <c r="A326" s="31" t="s">
        <v>233</v>
      </c>
      <c r="B326" s="1" t="s">
        <v>504</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
      <c r="A327" s="31" t="s">
        <v>233</v>
      </c>
      <c r="B327" s="1" t="s">
        <v>505</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
      <c r="A328" s="31" t="s">
        <v>233</v>
      </c>
      <c r="B328" s="1" t="s">
        <v>506</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
      <c r="A329" s="31" t="s">
        <v>233</v>
      </c>
      <c r="B329" s="1" t="s">
        <v>507</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
      <c r="A330" s="31" t="s">
        <v>233</v>
      </c>
      <c r="B330" s="1" t="s">
        <v>508</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
      <c r="A331" s="31" t="s">
        <v>233</v>
      </c>
      <c r="B331" s="1" t="s">
        <v>509</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
      <c r="A332" s="31" t="s">
        <v>233</v>
      </c>
      <c r="B332" s="1" t="s">
        <v>510</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
      <c r="A333" s="31" t="s">
        <v>233</v>
      </c>
      <c r="B333" s="1" t="s">
        <v>511</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
      <c r="A334" s="31" t="s">
        <v>233</v>
      </c>
      <c r="B334" s="1" t="s">
        <v>512</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
      <c r="A335" s="31" t="s">
        <v>233</v>
      </c>
      <c r="B335" s="1" t="s">
        <v>513</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
      <c r="A336" s="31" t="s">
        <v>233</v>
      </c>
      <c r="B336" s="1" t="s">
        <v>514</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
      <c r="A337" s="31" t="s">
        <v>233</v>
      </c>
      <c r="B337" s="1" t="s">
        <v>515</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
      <c r="A338" s="31" t="s">
        <v>233</v>
      </c>
      <c r="B338" s="1" t="s">
        <v>516</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
      <c r="A339" s="31" t="s">
        <v>233</v>
      </c>
      <c r="B339" s="1" t="s">
        <v>517</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
      <c r="A340" s="31" t="s">
        <v>233</v>
      </c>
      <c r="B340" s="1" t="s">
        <v>518</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
      <c r="A341" s="31" t="s">
        <v>233</v>
      </c>
      <c r="B341" s="1" t="s">
        <v>519</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
      <c r="A342" s="31" t="s">
        <v>233</v>
      </c>
      <c r="B342" s="1" t="s">
        <v>520</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
      <c r="A343" s="31" t="s">
        <v>233</v>
      </c>
      <c r="B343" s="1" t="s">
        <v>521</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
      <c r="A344" s="31" t="s">
        <v>233</v>
      </c>
      <c r="B344" s="1" t="s">
        <v>522</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
      <c r="A345" s="31" t="s">
        <v>233</v>
      </c>
      <c r="B345" s="1" t="s">
        <v>523</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
      <c r="A346" s="31" t="s">
        <v>233</v>
      </c>
      <c r="B346" s="1" t="s">
        <v>524</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
      <c r="A347" s="31" t="s">
        <v>233</v>
      </c>
      <c r="B347" s="1" t="s">
        <v>525</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
      <c r="A348" s="31" t="s">
        <v>233</v>
      </c>
      <c r="B348" s="1" t="s">
        <v>526</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
      <c r="A349" s="31" t="s">
        <v>233</v>
      </c>
      <c r="B349" s="1" t="s">
        <v>527</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
      <c r="A350" s="31" t="s">
        <v>233</v>
      </c>
      <c r="B350" s="1" t="s">
        <v>528</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
      <c r="A351" s="31" t="s">
        <v>233</v>
      </c>
      <c r="B351" s="1" t="s">
        <v>529</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
      <c r="A352" s="31" t="s">
        <v>233</v>
      </c>
      <c r="B352" s="1" t="s">
        <v>530</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
      <c r="A353" s="31" t="s">
        <v>233</v>
      </c>
      <c r="B353" s="1" t="s">
        <v>531</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
      <c r="A354" s="31" t="s">
        <v>233</v>
      </c>
      <c r="B354" s="1" t="s">
        <v>532</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
      <c r="A355" s="31" t="s">
        <v>233</v>
      </c>
      <c r="B355" s="1" t="s">
        <v>533</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
      <c r="A356" s="31" t="s">
        <v>233</v>
      </c>
      <c r="B356" s="1" t="s">
        <v>534</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
      <c r="A357" s="31" t="s">
        <v>233</v>
      </c>
      <c r="B357" s="1" t="s">
        <v>535</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
      <c r="A358" s="31" t="s">
        <v>233</v>
      </c>
      <c r="B358" s="1" t="s">
        <v>536</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
      <c r="A359" s="31" t="s">
        <v>233</v>
      </c>
      <c r="B359" s="1" t="s">
        <v>537</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
      <c r="A360" s="31" t="s">
        <v>233</v>
      </c>
      <c r="B360" s="1" t="s">
        <v>538</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
      <c r="A361" s="31" t="s">
        <v>233</v>
      </c>
      <c r="B361" s="1" t="s">
        <v>539</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
      <c r="A362" s="31" t="s">
        <v>233</v>
      </c>
      <c r="B362" s="1" t="s">
        <v>540</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
      <c r="A363" s="31" t="s">
        <v>233</v>
      </c>
      <c r="B363" s="1" t="s">
        <v>541</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
      <c r="A364" s="31" t="s">
        <v>233</v>
      </c>
      <c r="B364" s="1" t="s">
        <v>542</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
      <c r="A365" s="31" t="s">
        <v>233</v>
      </c>
      <c r="B365" s="1" t="s">
        <v>543</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
      <c r="A366" s="31" t="s">
        <v>233</v>
      </c>
      <c r="B366" s="1" t="s">
        <v>544</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
      <c r="A367" s="31" t="s">
        <v>233</v>
      </c>
      <c r="B367" s="1" t="s">
        <v>545</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
      <c r="A368" s="31" t="s">
        <v>233</v>
      </c>
      <c r="B368" s="1" t="s">
        <v>546</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
      <c r="A369" s="31" t="s">
        <v>233</v>
      </c>
      <c r="B369" s="1" t="s">
        <v>547</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
      <c r="A370" s="31" t="s">
        <v>233</v>
      </c>
      <c r="B370" s="1" t="s">
        <v>548</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
      <c r="A371" s="31" t="s">
        <v>233</v>
      </c>
      <c r="B371" s="1" t="s">
        <v>994</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
      <c r="A372" s="31" t="s">
        <v>233</v>
      </c>
      <c r="B372" s="1" t="s">
        <v>549</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
      <c r="A373" s="31" t="s">
        <v>233</v>
      </c>
      <c r="B373" s="1" t="s">
        <v>550</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
      <c r="A374" s="31" t="s">
        <v>233</v>
      </c>
      <c r="B374" s="1" t="s">
        <v>551</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
      <c r="A375" s="31" t="s">
        <v>233</v>
      </c>
      <c r="B375" s="1" t="s">
        <v>552</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
      <c r="A376" s="31" t="s">
        <v>233</v>
      </c>
      <c r="B376" s="1" t="s">
        <v>995</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
      <c r="A377" s="31" t="s">
        <v>233</v>
      </c>
      <c r="B377" s="1" t="s">
        <v>553</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
      <c r="A378" s="31" t="s">
        <v>233</v>
      </c>
      <c r="B378" s="1" t="s">
        <v>554</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
      <c r="A379" s="31" t="s">
        <v>233</v>
      </c>
      <c r="B379" s="1" t="s">
        <v>555</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
      <c r="A380" s="31" t="s">
        <v>233</v>
      </c>
      <c r="B380" s="1" t="s">
        <v>556</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
      <c r="A381" s="31" t="s">
        <v>233</v>
      </c>
      <c r="B381" s="1" t="s">
        <v>557</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
      <c r="A382" s="31" t="s">
        <v>233</v>
      </c>
      <c r="B382" s="1" t="s">
        <v>558</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
      <c r="A383" s="31" t="s">
        <v>233</v>
      </c>
      <c r="B383" s="1" t="s">
        <v>559</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
      <c r="A384" s="31" t="s">
        <v>233</v>
      </c>
      <c r="B384" s="1" t="s">
        <v>560</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
      <c r="A385" s="31" t="s">
        <v>233</v>
      </c>
      <c r="B385" s="1" t="s">
        <v>561</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
      <c r="A386" s="31" t="s">
        <v>233</v>
      </c>
      <c r="B386" s="1" t="s">
        <v>562</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
      <c r="A387" s="31" t="s">
        <v>233</v>
      </c>
      <c r="B387" s="1" t="s">
        <v>563</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
      <c r="A388" s="31" t="s">
        <v>233</v>
      </c>
      <c r="B388" s="1" t="s">
        <v>564</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
      <c r="A389" s="31" t="s">
        <v>233</v>
      </c>
      <c r="B389" s="1" t="s">
        <v>565</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
      <c r="A390" s="31" t="s">
        <v>233</v>
      </c>
      <c r="B390" s="1" t="s">
        <v>566</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
      <c r="A391" s="31" t="s">
        <v>233</v>
      </c>
      <c r="B391" s="1" t="s">
        <v>567</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
      <c r="A392" s="31" t="s">
        <v>233</v>
      </c>
      <c r="B392" s="1" t="s">
        <v>568</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
      <c r="A393" s="31" t="s">
        <v>233</v>
      </c>
      <c r="B393" s="1" t="s">
        <v>569</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
      <c r="A394" s="31" t="s">
        <v>233</v>
      </c>
      <c r="B394" s="1" t="s">
        <v>570</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
      <c r="A395" s="31" t="s">
        <v>233</v>
      </c>
      <c r="B395" s="1" t="s">
        <v>571</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
      <c r="A396" s="31" t="s">
        <v>233</v>
      </c>
      <c r="B396" s="1" t="s">
        <v>572</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
      <c r="A397" s="31" t="s">
        <v>233</v>
      </c>
      <c r="B397" s="1" t="s">
        <v>573</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
      <c r="A398" s="31" t="s">
        <v>233</v>
      </c>
      <c r="B398" s="1" t="s">
        <v>574</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
      <c r="A399" s="31" t="s">
        <v>233</v>
      </c>
      <c r="B399" s="1" t="s">
        <v>575</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
      <c r="A400" s="31" t="s">
        <v>233</v>
      </c>
      <c r="B400" s="1" t="s">
        <v>576</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
      <c r="A401" s="31" t="s">
        <v>233</v>
      </c>
      <c r="B401" s="1" t="s">
        <v>577</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
      <c r="A402" s="31" t="s">
        <v>233</v>
      </c>
      <c r="B402" s="1" t="s">
        <v>578</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
      <c r="A403" s="31" t="s">
        <v>233</v>
      </c>
      <c r="B403" s="1" t="s">
        <v>579</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
      <c r="A404" s="31" t="s">
        <v>233</v>
      </c>
      <c r="B404" s="1" t="s">
        <v>580</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
      <c r="A405" s="31" t="s">
        <v>233</v>
      </c>
      <c r="B405" s="1" t="s">
        <v>581</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
      <c r="A406" s="31" t="s">
        <v>233</v>
      </c>
      <c r="B406" s="1" t="s">
        <v>582</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
      <c r="A407" s="31" t="s">
        <v>233</v>
      </c>
      <c r="B407" s="1" t="s">
        <v>583</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
      <c r="A408" s="31" t="s">
        <v>233</v>
      </c>
      <c r="B408" s="1" t="s">
        <v>584</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
      <c r="A409" s="31" t="s">
        <v>233</v>
      </c>
      <c r="B409" s="1" t="s">
        <v>585</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
      <c r="A410" s="31" t="s">
        <v>233</v>
      </c>
      <c r="B410" s="1" t="s">
        <v>586</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
      <c r="A411" s="31" t="s">
        <v>233</v>
      </c>
      <c r="B411" s="1" t="s">
        <v>587</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
      <c r="A412" s="31" t="s">
        <v>233</v>
      </c>
      <c r="B412" s="1" t="s">
        <v>588</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
      <c r="A413" s="31" t="s">
        <v>233</v>
      </c>
      <c r="B413" s="1" t="s">
        <v>589</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
      <c r="A414" s="31" t="s">
        <v>233</v>
      </c>
      <c r="B414" s="1" t="s">
        <v>380</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
      <c r="A415" s="31" t="s">
        <v>233</v>
      </c>
      <c r="B415" s="1" t="s">
        <v>590</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
      <c r="A416" s="31" t="s">
        <v>233</v>
      </c>
      <c r="B416" s="1" t="s">
        <v>591</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
      <c r="A417" s="31" t="s">
        <v>233</v>
      </c>
      <c r="B417" s="1" t="s">
        <v>592</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
      <c r="A418" s="31" t="s">
        <v>233</v>
      </c>
      <c r="B418" s="1" t="s">
        <v>593</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
      <c r="A419" s="31" t="s">
        <v>233</v>
      </c>
      <c r="B419" s="1" t="s">
        <v>594</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
      <c r="A420" s="31" t="s">
        <v>233</v>
      </c>
      <c r="B420" s="1" t="s">
        <v>595</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
      <c r="A421" s="31" t="s">
        <v>233</v>
      </c>
      <c r="B421" s="1" t="s">
        <v>596</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
      <c r="A422" s="31" t="s">
        <v>233</v>
      </c>
      <c r="B422" s="1" t="s">
        <v>597</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
      <c r="A423" s="31" t="s">
        <v>233</v>
      </c>
      <c r="B423" s="1" t="s">
        <v>598</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
      <c r="A424" s="31" t="s">
        <v>233</v>
      </c>
      <c r="B424" s="1" t="s">
        <v>599</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
      <c r="A425" s="31" t="s">
        <v>233</v>
      </c>
      <c r="B425" s="1" t="s">
        <v>600</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
      <c r="A426" s="31" t="s">
        <v>233</v>
      </c>
      <c r="B426" s="1" t="s">
        <v>601</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
      <c r="A427" s="31" t="s">
        <v>233</v>
      </c>
      <c r="B427" s="1" t="s">
        <v>602</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
      <c r="A428" s="31" t="s">
        <v>233</v>
      </c>
      <c r="B428" s="1" t="s">
        <v>603</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
      <c r="A429" s="31" t="s">
        <v>233</v>
      </c>
      <c r="B429" s="1" t="s">
        <v>604</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
      <c r="A430" s="31" t="s">
        <v>233</v>
      </c>
      <c r="B430" s="1" t="s">
        <v>605</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
      <c r="A431" s="31" t="s">
        <v>233</v>
      </c>
      <c r="B431" s="1" t="s">
        <v>606</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
      <c r="A432" s="31" t="s">
        <v>233</v>
      </c>
      <c r="B432" s="1" t="s">
        <v>607</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
      <c r="A433" s="31" t="s">
        <v>233</v>
      </c>
      <c r="B433" s="1" t="s">
        <v>608</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
      <c r="A434" s="31" t="s">
        <v>233</v>
      </c>
      <c r="B434" s="1" t="s">
        <v>609</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
      <c r="A435" s="31" t="s">
        <v>233</v>
      </c>
      <c r="B435" s="1" t="s">
        <v>610</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
      <c r="A436" s="31" t="s">
        <v>233</v>
      </c>
      <c r="B436" s="1" t="s">
        <v>611</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
      <c r="A437" s="31" t="s">
        <v>233</v>
      </c>
      <c r="B437" s="1" t="s">
        <v>612</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
      <c r="A438" s="31" t="s">
        <v>233</v>
      </c>
      <c r="B438" s="1" t="s">
        <v>613</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
      <c r="A439" s="31" t="s">
        <v>233</v>
      </c>
      <c r="B439" s="1" t="s">
        <v>614</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
      <c r="A440" s="31" t="s">
        <v>233</v>
      </c>
      <c r="B440" s="1" t="s">
        <v>615</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
      <c r="A441" s="31" t="s">
        <v>233</v>
      </c>
      <c r="B441" s="1" t="s">
        <v>616</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
      <c r="A442" s="31" t="s">
        <v>233</v>
      </c>
      <c r="B442" s="1" t="s">
        <v>617</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
      <c r="A443" s="31" t="s">
        <v>233</v>
      </c>
      <c r="B443" s="1" t="s">
        <v>618</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
      <c r="A444" s="31" t="s">
        <v>233</v>
      </c>
      <c r="B444" s="1" t="s">
        <v>619</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
      <c r="A445" s="31" t="s">
        <v>233</v>
      </c>
      <c r="B445" s="1" t="s">
        <v>620</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
      <c r="A446" s="31" t="s">
        <v>233</v>
      </c>
      <c r="B446" s="1" t="s">
        <v>621</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
      <c r="A447" s="31" t="s">
        <v>233</v>
      </c>
      <c r="B447" s="1" t="s">
        <v>622</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
      <c r="A448" s="31" t="s">
        <v>233</v>
      </c>
      <c r="B448" s="1" t="s">
        <v>623</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
      <c r="A449" s="31" t="s">
        <v>233</v>
      </c>
      <c r="B449" s="1" t="s">
        <v>624</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
      <c r="A450" s="31" t="s">
        <v>233</v>
      </c>
      <c r="B450" s="1" t="s">
        <v>625</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
      <c r="A451" s="31" t="s">
        <v>233</v>
      </c>
      <c r="B451" s="1" t="s">
        <v>626</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
      <c r="A452" s="31" t="s">
        <v>233</v>
      </c>
      <c r="B452" s="1" t="s">
        <v>627</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
      <c r="A453" s="31" t="s">
        <v>233</v>
      </c>
      <c r="B453" s="1" t="s">
        <v>628</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
      <c r="A454" s="31" t="s">
        <v>233</v>
      </c>
      <c r="B454" s="1" t="s">
        <v>629</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
      <c r="A455" s="31" t="s">
        <v>233</v>
      </c>
      <c r="B455" s="1" t="s">
        <v>630</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
      <c r="A456" s="31" t="s">
        <v>233</v>
      </c>
      <c r="B456" s="1" t="s">
        <v>631</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
      <c r="A457" s="31" t="s">
        <v>233</v>
      </c>
      <c r="B457" s="1" t="s">
        <v>632</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
      <c r="A458" s="31" t="s">
        <v>233</v>
      </c>
      <c r="B458" s="1" t="s">
        <v>633</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
      <c r="A459" s="31" t="s">
        <v>233</v>
      </c>
      <c r="B459" s="1" t="s">
        <v>634</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
      <c r="A460" s="31" t="s">
        <v>233</v>
      </c>
      <c r="B460" s="1" t="s">
        <v>635</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
      <c r="A461" s="31" t="s">
        <v>233</v>
      </c>
      <c r="B461" s="1" t="s">
        <v>636</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
      <c r="A462" s="31" t="s">
        <v>233</v>
      </c>
      <c r="B462" s="1" t="s">
        <v>637</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
      <c r="A463" s="31" t="s">
        <v>233</v>
      </c>
      <c r="B463" s="1" t="s">
        <v>638</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
      <c r="A464" s="31" t="s">
        <v>233</v>
      </c>
      <c r="B464" s="1" t="s">
        <v>639</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
      <c r="A465" s="31" t="s">
        <v>233</v>
      </c>
      <c r="B465" s="1" t="s">
        <v>640</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
      <c r="A466" s="31" t="s">
        <v>233</v>
      </c>
      <c r="B466" s="1" t="s">
        <v>641</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
      <c r="A467" s="31" t="s">
        <v>233</v>
      </c>
      <c r="B467" s="1" t="s">
        <v>642</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
      <c r="A468" s="31" t="s">
        <v>233</v>
      </c>
      <c r="B468" s="1" t="s">
        <v>643</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
      <c r="A469" s="31" t="s">
        <v>233</v>
      </c>
      <c r="B469" s="1" t="s">
        <v>644</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
      <c r="A470" s="31" t="s">
        <v>233</v>
      </c>
      <c r="B470" s="1" t="s">
        <v>645</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
      <c r="A471" s="31" t="s">
        <v>233</v>
      </c>
      <c r="B471" s="1" t="s">
        <v>646</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
      <c r="A472" s="31" t="s">
        <v>233</v>
      </c>
      <c r="B472" s="1" t="s">
        <v>647</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
      <c r="A473" s="31" t="s">
        <v>233</v>
      </c>
      <c r="B473" s="1" t="s">
        <v>648</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
      <c r="A474" s="31" t="s">
        <v>233</v>
      </c>
      <c r="B474" s="1" t="s">
        <v>649</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
      <c r="A475" s="31" t="s">
        <v>233</v>
      </c>
      <c r="B475" s="1" t="s">
        <v>650</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
      <c r="A476" s="31" t="s">
        <v>233</v>
      </c>
      <c r="B476" s="1" t="s">
        <v>651</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
      <c r="A477" s="31" t="s">
        <v>233</v>
      </c>
      <c r="B477" s="1" t="s">
        <v>652</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
      <c r="A478" s="31" t="s">
        <v>233</v>
      </c>
      <c r="B478" s="1" t="s">
        <v>996</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
      <c r="A479" s="31" t="s">
        <v>233</v>
      </c>
      <c r="B479" s="1" t="s">
        <v>653</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
      <c r="A480" s="31" t="s">
        <v>233</v>
      </c>
      <c r="B480" s="1" t="s">
        <v>654</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
      <c r="A481" s="31" t="s">
        <v>233</v>
      </c>
      <c r="B481" s="1" t="s">
        <v>655</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
      <c r="A482" s="31" t="s">
        <v>233</v>
      </c>
      <c r="B482" s="1" t="s">
        <v>997</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
      <c r="A483" s="31" t="s">
        <v>233</v>
      </c>
      <c r="B483" s="1" t="s">
        <v>656</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
      <c r="A484" s="31" t="s">
        <v>233</v>
      </c>
      <c r="B484" s="1" t="s">
        <v>657</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
      <c r="A485" s="31" t="s">
        <v>233</v>
      </c>
      <c r="B485" s="1" t="s">
        <v>658</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
      <c r="A486" s="31" t="s">
        <v>233</v>
      </c>
      <c r="B486" s="1" t="s">
        <v>659</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
      <c r="A487" s="31" t="s">
        <v>233</v>
      </c>
      <c r="B487" s="1" t="s">
        <v>660</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
      <c r="A488" s="31" t="s">
        <v>233</v>
      </c>
      <c r="B488" s="1" t="s">
        <v>661</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
      <c r="A489" s="31" t="s">
        <v>233</v>
      </c>
      <c r="B489" s="1" t="s">
        <v>662</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
      <c r="A490" s="31" t="s">
        <v>233</v>
      </c>
      <c r="B490" s="1" t="s">
        <v>663</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
      <c r="A491" s="31" t="s">
        <v>233</v>
      </c>
      <c r="B491" s="1" t="s">
        <v>664</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
      <c r="A492" s="31" t="s">
        <v>233</v>
      </c>
      <c r="B492" s="1" t="s">
        <v>665</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
      <c r="A493" s="31" t="s">
        <v>233</v>
      </c>
      <c r="B493" s="1" t="s">
        <v>666</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
      <c r="A494" s="31" t="s">
        <v>233</v>
      </c>
      <c r="B494" s="1" t="s">
        <v>667</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
      <c r="A495" s="31" t="s">
        <v>233</v>
      </c>
      <c r="B495" s="1" t="s">
        <v>668</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
      <c r="A496" s="31" t="s">
        <v>233</v>
      </c>
      <c r="B496" s="1" t="s">
        <v>669</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ht="15" x14ac:dyDescent="0.25">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2">
      <c r="A498" s="31" t="s">
        <v>670</v>
      </c>
      <c r="B498" s="1" t="s">
        <v>671</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612">
        <v>391</v>
      </c>
      <c r="N498" s="612">
        <v>334</v>
      </c>
      <c r="O498" s="612">
        <v>374</v>
      </c>
      <c r="P498" s="612">
        <v>393</v>
      </c>
      <c r="Q498" s="612">
        <v>365</v>
      </c>
      <c r="R498" s="612">
        <v>333</v>
      </c>
      <c r="S498" s="612">
        <v>365</v>
      </c>
      <c r="T498" s="612">
        <v>388</v>
      </c>
      <c r="U498" s="612">
        <v>394</v>
      </c>
      <c r="V498" s="612">
        <v>392</v>
      </c>
      <c r="W498" s="612">
        <v>375</v>
      </c>
      <c r="X498" s="612">
        <v>423</v>
      </c>
      <c r="Y498" s="612">
        <v>403</v>
      </c>
      <c r="Z498" s="612">
        <v>425</v>
      </c>
      <c r="AA498" s="612">
        <v>394</v>
      </c>
      <c r="AB498" s="612">
        <v>319</v>
      </c>
      <c r="AC498" s="612">
        <v>337</v>
      </c>
      <c r="AD498" s="612">
        <v>363</v>
      </c>
      <c r="AE498" s="612">
        <v>363</v>
      </c>
      <c r="AF498" s="612">
        <v>317</v>
      </c>
      <c r="AG498" s="612">
        <v>288</v>
      </c>
      <c r="AH498" s="612">
        <v>332</v>
      </c>
      <c r="AI498" s="612">
        <v>374</v>
      </c>
      <c r="AJ498" s="612">
        <v>338</v>
      </c>
      <c r="AK498" s="612">
        <v>389</v>
      </c>
      <c r="AL498" s="612">
        <v>412</v>
      </c>
      <c r="AM498" s="612">
        <v>367</v>
      </c>
      <c r="AN498" s="612">
        <v>361</v>
      </c>
      <c r="AO498" s="612">
        <v>441</v>
      </c>
      <c r="AP498" s="612">
        <v>438</v>
      </c>
      <c r="AQ498" s="612">
        <v>468</v>
      </c>
      <c r="AR498" s="612">
        <v>465</v>
      </c>
      <c r="AS498" s="612">
        <v>442</v>
      </c>
      <c r="AT498" s="612">
        <v>467</v>
      </c>
      <c r="AU498" s="612">
        <v>398</v>
      </c>
      <c r="AV498" s="612">
        <v>423</v>
      </c>
      <c r="AW498" s="612">
        <v>418</v>
      </c>
      <c r="AX498" s="612">
        <v>449</v>
      </c>
      <c r="AY498" s="612">
        <v>389</v>
      </c>
      <c r="AZ498" s="612">
        <v>409</v>
      </c>
      <c r="BA498" s="612">
        <v>365</v>
      </c>
      <c r="BB498" s="612">
        <v>396</v>
      </c>
      <c r="BC498" s="612">
        <v>373</v>
      </c>
      <c r="BD498" s="612">
        <v>369</v>
      </c>
      <c r="BE498" s="612">
        <v>348</v>
      </c>
      <c r="BF498" s="612">
        <v>299</v>
      </c>
      <c r="BG498" s="612">
        <v>345</v>
      </c>
      <c r="BH498" s="612">
        <v>417</v>
      </c>
      <c r="BI498" s="612">
        <v>386</v>
      </c>
      <c r="BJ498" s="612">
        <v>430</v>
      </c>
      <c r="BK498" s="612">
        <v>495</v>
      </c>
      <c r="BL498" s="612">
        <v>469</v>
      </c>
      <c r="BM498" s="612">
        <v>471</v>
      </c>
      <c r="BN498" s="612">
        <v>521</v>
      </c>
      <c r="BO498" s="612">
        <v>498</v>
      </c>
      <c r="BP498" s="612">
        <v>491</v>
      </c>
      <c r="BQ498" s="612">
        <v>525</v>
      </c>
      <c r="BR498" s="612">
        <v>529</v>
      </c>
      <c r="BS498" s="612">
        <v>512</v>
      </c>
      <c r="BT498" s="612">
        <v>493</v>
      </c>
      <c r="BU498" s="612">
        <v>503</v>
      </c>
      <c r="BV498" s="612">
        <v>432</v>
      </c>
      <c r="BW498" s="612">
        <v>445</v>
      </c>
      <c r="BX498" s="612">
        <v>434</v>
      </c>
      <c r="BY498" s="612">
        <v>364</v>
      </c>
      <c r="BZ498" s="612">
        <v>441</v>
      </c>
      <c r="CA498" s="612">
        <v>389</v>
      </c>
      <c r="CB498" s="612">
        <v>372</v>
      </c>
      <c r="CC498" s="612">
        <v>364</v>
      </c>
      <c r="CD498" s="612">
        <v>375</v>
      </c>
      <c r="CE498" s="612">
        <v>341</v>
      </c>
      <c r="CF498" s="612">
        <v>358</v>
      </c>
      <c r="CG498" s="612">
        <v>351</v>
      </c>
      <c r="CH498" s="612">
        <v>359</v>
      </c>
      <c r="CI498" s="612">
        <v>343</v>
      </c>
      <c r="CJ498" s="612">
        <v>401</v>
      </c>
      <c r="CK498" s="612">
        <v>297</v>
      </c>
      <c r="CL498" s="612">
        <v>262</v>
      </c>
      <c r="CM498" s="612">
        <v>235</v>
      </c>
      <c r="CN498" s="612">
        <v>261</v>
      </c>
      <c r="CO498" s="612">
        <v>210</v>
      </c>
      <c r="CP498" s="612">
        <v>179</v>
      </c>
      <c r="CQ498" s="612">
        <v>155</v>
      </c>
      <c r="CR498" s="612">
        <v>164</v>
      </c>
      <c r="CS498" s="612">
        <v>135</v>
      </c>
      <c r="CT498" s="612">
        <v>101</v>
      </c>
      <c r="CU498" s="612">
        <v>100</v>
      </c>
      <c r="CV498" s="612">
        <v>87</v>
      </c>
      <c r="CW498" s="612">
        <v>55</v>
      </c>
      <c r="CX498" s="612">
        <v>58</v>
      </c>
      <c r="CY498" s="612">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2">
      <c r="A499" s="31" t="s">
        <v>222</v>
      </c>
      <c r="B499" s="1" t="s">
        <v>672</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612">
        <v>731</v>
      </c>
      <c r="N499" s="612">
        <v>689</v>
      </c>
      <c r="O499" s="612">
        <v>714</v>
      </c>
      <c r="P499" s="612">
        <v>751</v>
      </c>
      <c r="Q499" s="612">
        <v>788</v>
      </c>
      <c r="R499" s="612">
        <v>823</v>
      </c>
      <c r="S499" s="612">
        <v>811</v>
      </c>
      <c r="T499" s="612">
        <v>852</v>
      </c>
      <c r="U499" s="612">
        <v>862</v>
      </c>
      <c r="V499" s="612">
        <v>879</v>
      </c>
      <c r="W499" s="612">
        <v>884</v>
      </c>
      <c r="X499" s="612">
        <v>978</v>
      </c>
      <c r="Y499" s="612">
        <v>895</v>
      </c>
      <c r="Z499" s="612">
        <v>924</v>
      </c>
      <c r="AA499" s="612">
        <v>890</v>
      </c>
      <c r="AB499" s="612">
        <v>868</v>
      </c>
      <c r="AC499" s="612">
        <v>836</v>
      </c>
      <c r="AD499" s="612">
        <v>905</v>
      </c>
      <c r="AE499" s="612">
        <v>777</v>
      </c>
      <c r="AF499" s="612">
        <v>641</v>
      </c>
      <c r="AG499" s="612">
        <v>674</v>
      </c>
      <c r="AH499" s="612">
        <v>686</v>
      </c>
      <c r="AI499" s="612">
        <v>727</v>
      </c>
      <c r="AJ499" s="612">
        <v>840</v>
      </c>
      <c r="AK499" s="612">
        <v>858</v>
      </c>
      <c r="AL499" s="612">
        <v>945</v>
      </c>
      <c r="AM499" s="612">
        <v>890</v>
      </c>
      <c r="AN499" s="612">
        <v>816</v>
      </c>
      <c r="AO499" s="612">
        <v>944</v>
      </c>
      <c r="AP499" s="612">
        <v>857</v>
      </c>
      <c r="AQ499" s="612">
        <v>968</v>
      </c>
      <c r="AR499" s="612">
        <v>910</v>
      </c>
      <c r="AS499" s="612">
        <v>982</v>
      </c>
      <c r="AT499" s="612">
        <v>986</v>
      </c>
      <c r="AU499" s="612">
        <v>996</v>
      </c>
      <c r="AV499" s="612">
        <v>984</v>
      </c>
      <c r="AW499" s="612">
        <v>944</v>
      </c>
      <c r="AX499" s="612">
        <v>937</v>
      </c>
      <c r="AY499" s="612">
        <v>874</v>
      </c>
      <c r="AZ499" s="612">
        <v>882</v>
      </c>
      <c r="BA499" s="612">
        <v>860</v>
      </c>
      <c r="BB499" s="612">
        <v>916</v>
      </c>
      <c r="BC499" s="612">
        <v>935</v>
      </c>
      <c r="BD499" s="612">
        <v>885</v>
      </c>
      <c r="BE499" s="612">
        <v>798</v>
      </c>
      <c r="BF499" s="612">
        <v>764</v>
      </c>
      <c r="BG499" s="612">
        <v>821</v>
      </c>
      <c r="BH499" s="612">
        <v>816</v>
      </c>
      <c r="BI499" s="612">
        <v>884</v>
      </c>
      <c r="BJ499" s="612">
        <v>901</v>
      </c>
      <c r="BK499" s="612">
        <v>1009</v>
      </c>
      <c r="BL499" s="612">
        <v>1091</v>
      </c>
      <c r="BM499" s="612">
        <v>977</v>
      </c>
      <c r="BN499" s="612">
        <v>1017</v>
      </c>
      <c r="BO499" s="612">
        <v>1078</v>
      </c>
      <c r="BP499" s="612">
        <v>1056</v>
      </c>
      <c r="BQ499" s="612">
        <v>1081</v>
      </c>
      <c r="BR499" s="612">
        <v>1062</v>
      </c>
      <c r="BS499" s="612">
        <v>1067</v>
      </c>
      <c r="BT499" s="612">
        <v>1000</v>
      </c>
      <c r="BU499" s="612">
        <v>1035</v>
      </c>
      <c r="BV499" s="612">
        <v>984</v>
      </c>
      <c r="BW499" s="612">
        <v>918</v>
      </c>
      <c r="BX499" s="612">
        <v>903</v>
      </c>
      <c r="BY499" s="612">
        <v>907</v>
      </c>
      <c r="BZ499" s="612">
        <v>835</v>
      </c>
      <c r="CA499" s="612">
        <v>831</v>
      </c>
      <c r="CB499" s="612">
        <v>766</v>
      </c>
      <c r="CC499" s="612">
        <v>742</v>
      </c>
      <c r="CD499" s="612">
        <v>776</v>
      </c>
      <c r="CE499" s="612">
        <v>736</v>
      </c>
      <c r="CF499" s="612">
        <v>767</v>
      </c>
      <c r="CG499" s="612">
        <v>726</v>
      </c>
      <c r="CH499" s="612">
        <v>780</v>
      </c>
      <c r="CI499" s="612">
        <v>754</v>
      </c>
      <c r="CJ499" s="612">
        <v>809</v>
      </c>
      <c r="CK499" s="612">
        <v>632</v>
      </c>
      <c r="CL499" s="612">
        <v>617</v>
      </c>
      <c r="CM499" s="612">
        <v>572</v>
      </c>
      <c r="CN499" s="612">
        <v>506</v>
      </c>
      <c r="CO499" s="612">
        <v>443</v>
      </c>
      <c r="CP499" s="612">
        <v>449</v>
      </c>
      <c r="CQ499" s="612">
        <v>367</v>
      </c>
      <c r="CR499" s="612">
        <v>336</v>
      </c>
      <c r="CS499" s="612">
        <v>314</v>
      </c>
      <c r="CT499" s="612">
        <v>257</v>
      </c>
      <c r="CU499" s="612">
        <v>226</v>
      </c>
      <c r="CV499" s="612">
        <v>223</v>
      </c>
      <c r="CW499" s="612">
        <v>154</v>
      </c>
      <c r="CX499" s="612">
        <v>144</v>
      </c>
      <c r="CY499" s="612">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2">
      <c r="A500" s="31" t="s">
        <v>222</v>
      </c>
      <c r="B500" s="1" t="s">
        <v>673</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612">
        <v>834</v>
      </c>
      <c r="N500" s="612">
        <v>824</v>
      </c>
      <c r="O500" s="612">
        <v>908</v>
      </c>
      <c r="P500" s="612">
        <v>935</v>
      </c>
      <c r="Q500" s="612">
        <v>1007</v>
      </c>
      <c r="R500" s="612">
        <v>996</v>
      </c>
      <c r="S500" s="612">
        <v>1029</v>
      </c>
      <c r="T500" s="612">
        <v>1072</v>
      </c>
      <c r="U500" s="612">
        <v>1068</v>
      </c>
      <c r="V500" s="612">
        <v>1056</v>
      </c>
      <c r="W500" s="612">
        <v>1069</v>
      </c>
      <c r="X500" s="612">
        <v>1095</v>
      </c>
      <c r="Y500" s="612">
        <v>1148</v>
      </c>
      <c r="Z500" s="612">
        <v>1126</v>
      </c>
      <c r="AA500" s="612">
        <v>1141</v>
      </c>
      <c r="AB500" s="612">
        <v>1053</v>
      </c>
      <c r="AC500" s="612">
        <v>1026</v>
      </c>
      <c r="AD500" s="612">
        <v>1028</v>
      </c>
      <c r="AE500" s="612">
        <v>1108</v>
      </c>
      <c r="AF500" s="612">
        <v>875</v>
      </c>
      <c r="AG500" s="612">
        <v>817</v>
      </c>
      <c r="AH500" s="612">
        <v>888</v>
      </c>
      <c r="AI500" s="612">
        <v>942</v>
      </c>
      <c r="AJ500" s="612">
        <v>891</v>
      </c>
      <c r="AK500" s="612">
        <v>901</v>
      </c>
      <c r="AL500" s="612">
        <v>1103</v>
      </c>
      <c r="AM500" s="612">
        <v>1005</v>
      </c>
      <c r="AN500" s="612">
        <v>987</v>
      </c>
      <c r="AO500" s="612">
        <v>1032</v>
      </c>
      <c r="AP500" s="612">
        <v>1030</v>
      </c>
      <c r="AQ500" s="612">
        <v>1074</v>
      </c>
      <c r="AR500" s="612">
        <v>1182</v>
      </c>
      <c r="AS500" s="612">
        <v>1115</v>
      </c>
      <c r="AT500" s="612">
        <v>1132</v>
      </c>
      <c r="AU500" s="612">
        <v>1167</v>
      </c>
      <c r="AV500" s="612">
        <v>1071</v>
      </c>
      <c r="AW500" s="612">
        <v>1140</v>
      </c>
      <c r="AX500" s="612">
        <v>1077</v>
      </c>
      <c r="AY500" s="612">
        <v>1079</v>
      </c>
      <c r="AZ500" s="612">
        <v>1060</v>
      </c>
      <c r="BA500" s="612">
        <v>1012</v>
      </c>
      <c r="BB500" s="612">
        <v>1070</v>
      </c>
      <c r="BC500" s="612">
        <v>1085</v>
      </c>
      <c r="BD500" s="612">
        <v>1002</v>
      </c>
      <c r="BE500" s="612">
        <v>958</v>
      </c>
      <c r="BF500" s="612">
        <v>997</v>
      </c>
      <c r="BG500" s="612">
        <v>992</v>
      </c>
      <c r="BH500" s="612">
        <v>988</v>
      </c>
      <c r="BI500" s="612">
        <v>1077</v>
      </c>
      <c r="BJ500" s="612">
        <v>1113</v>
      </c>
      <c r="BK500" s="612">
        <v>1157</v>
      </c>
      <c r="BL500" s="612">
        <v>1232</v>
      </c>
      <c r="BM500" s="612">
        <v>1129</v>
      </c>
      <c r="BN500" s="612">
        <v>1299</v>
      </c>
      <c r="BO500" s="612">
        <v>1259</v>
      </c>
      <c r="BP500" s="612">
        <v>1214</v>
      </c>
      <c r="BQ500" s="612">
        <v>1265</v>
      </c>
      <c r="BR500" s="612">
        <v>1277</v>
      </c>
      <c r="BS500" s="612">
        <v>1255</v>
      </c>
      <c r="BT500" s="612">
        <v>1273</v>
      </c>
      <c r="BU500" s="612">
        <v>1181</v>
      </c>
      <c r="BV500" s="612">
        <v>1146</v>
      </c>
      <c r="BW500" s="612">
        <v>1118</v>
      </c>
      <c r="BX500" s="612">
        <v>1064</v>
      </c>
      <c r="BY500" s="612">
        <v>1058</v>
      </c>
      <c r="BZ500" s="612">
        <v>1029</v>
      </c>
      <c r="CA500" s="612">
        <v>925</v>
      </c>
      <c r="CB500" s="612">
        <v>870</v>
      </c>
      <c r="CC500" s="612">
        <v>989</v>
      </c>
      <c r="CD500" s="612">
        <v>948</v>
      </c>
      <c r="CE500" s="612">
        <v>880</v>
      </c>
      <c r="CF500" s="612">
        <v>910</v>
      </c>
      <c r="CG500" s="612">
        <v>938</v>
      </c>
      <c r="CH500" s="612">
        <v>837</v>
      </c>
      <c r="CI500" s="612">
        <v>970</v>
      </c>
      <c r="CJ500" s="612">
        <v>989</v>
      </c>
      <c r="CK500" s="612">
        <v>740</v>
      </c>
      <c r="CL500" s="612">
        <v>691</v>
      </c>
      <c r="CM500" s="612">
        <v>645</v>
      </c>
      <c r="CN500" s="612">
        <v>570</v>
      </c>
      <c r="CO500" s="612">
        <v>578</v>
      </c>
      <c r="CP500" s="612">
        <v>442</v>
      </c>
      <c r="CQ500" s="612">
        <v>426</v>
      </c>
      <c r="CR500" s="612">
        <v>410</v>
      </c>
      <c r="CS500" s="612">
        <v>355</v>
      </c>
      <c r="CT500" s="612">
        <v>296</v>
      </c>
      <c r="CU500" s="612">
        <v>259</v>
      </c>
      <c r="CV500" s="612">
        <v>215</v>
      </c>
      <c r="CW500" s="612">
        <v>176</v>
      </c>
      <c r="CX500" s="612">
        <v>150</v>
      </c>
      <c r="CY500" s="612">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2">
      <c r="A501" s="31" t="s">
        <v>222</v>
      </c>
      <c r="B501" s="1" t="s">
        <v>674</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612">
        <v>1950</v>
      </c>
      <c r="N501" s="612">
        <v>1875</v>
      </c>
      <c r="O501" s="612">
        <v>1880</v>
      </c>
      <c r="P501" s="612">
        <v>1977</v>
      </c>
      <c r="Q501" s="612">
        <v>2035</v>
      </c>
      <c r="R501" s="612">
        <v>2099</v>
      </c>
      <c r="S501" s="612">
        <v>2234</v>
      </c>
      <c r="T501" s="612">
        <v>2194</v>
      </c>
      <c r="U501" s="612">
        <v>2213</v>
      </c>
      <c r="V501" s="612">
        <v>2181</v>
      </c>
      <c r="W501" s="612">
        <v>2303</v>
      </c>
      <c r="X501" s="612">
        <v>2380</v>
      </c>
      <c r="Y501" s="612">
        <v>2271</v>
      </c>
      <c r="Z501" s="612">
        <v>2188</v>
      </c>
      <c r="AA501" s="612">
        <v>2173</v>
      </c>
      <c r="AB501" s="612">
        <v>2117</v>
      </c>
      <c r="AC501" s="612">
        <v>2130</v>
      </c>
      <c r="AD501" s="612">
        <v>2130</v>
      </c>
      <c r="AE501" s="612">
        <v>2327</v>
      </c>
      <c r="AF501" s="612">
        <v>4164</v>
      </c>
      <c r="AG501" s="612">
        <v>4565</v>
      </c>
      <c r="AH501" s="612">
        <v>4249</v>
      </c>
      <c r="AI501" s="612">
        <v>3797</v>
      </c>
      <c r="AJ501" s="612">
        <v>3628</v>
      </c>
      <c r="AK501" s="612">
        <v>3513</v>
      </c>
      <c r="AL501" s="612">
        <v>3439</v>
      </c>
      <c r="AM501" s="612">
        <v>3420</v>
      </c>
      <c r="AN501" s="612">
        <v>3228</v>
      </c>
      <c r="AO501" s="612">
        <v>3077</v>
      </c>
      <c r="AP501" s="612">
        <v>2999</v>
      </c>
      <c r="AQ501" s="612">
        <v>2824</v>
      </c>
      <c r="AR501" s="612">
        <v>2846</v>
      </c>
      <c r="AS501" s="612">
        <v>2776</v>
      </c>
      <c r="AT501" s="612">
        <v>2588</v>
      </c>
      <c r="AU501" s="612">
        <v>2705</v>
      </c>
      <c r="AV501" s="612">
        <v>2608</v>
      </c>
      <c r="AW501" s="612">
        <v>2669</v>
      </c>
      <c r="AX501" s="612">
        <v>2467</v>
      </c>
      <c r="AY501" s="612">
        <v>2494</v>
      </c>
      <c r="AZ501" s="612">
        <v>2498</v>
      </c>
      <c r="BA501" s="612">
        <v>2343</v>
      </c>
      <c r="BB501" s="612">
        <v>2361</v>
      </c>
      <c r="BC501" s="612">
        <v>2324</v>
      </c>
      <c r="BD501" s="612">
        <v>2260</v>
      </c>
      <c r="BE501" s="612">
        <v>2022</v>
      </c>
      <c r="BF501" s="612">
        <v>2128</v>
      </c>
      <c r="BG501" s="612">
        <v>2019</v>
      </c>
      <c r="BH501" s="612">
        <v>2027</v>
      </c>
      <c r="BI501" s="612">
        <v>2070</v>
      </c>
      <c r="BJ501" s="612">
        <v>1928</v>
      </c>
      <c r="BK501" s="612">
        <v>1966</v>
      </c>
      <c r="BL501" s="612">
        <v>2100</v>
      </c>
      <c r="BM501" s="612">
        <v>2061</v>
      </c>
      <c r="BN501" s="612">
        <v>2078</v>
      </c>
      <c r="BO501" s="612">
        <v>1992</v>
      </c>
      <c r="BP501" s="612">
        <v>2070</v>
      </c>
      <c r="BQ501" s="612">
        <v>1888</v>
      </c>
      <c r="BR501" s="612">
        <v>2027</v>
      </c>
      <c r="BS501" s="612">
        <v>1976</v>
      </c>
      <c r="BT501" s="612">
        <v>1918</v>
      </c>
      <c r="BU501" s="612">
        <v>1994</v>
      </c>
      <c r="BV501" s="612">
        <v>1814</v>
      </c>
      <c r="BW501" s="612">
        <v>1830</v>
      </c>
      <c r="BX501" s="612">
        <v>1808</v>
      </c>
      <c r="BY501" s="612">
        <v>1654</v>
      </c>
      <c r="BZ501" s="612">
        <v>1666</v>
      </c>
      <c r="CA501" s="612">
        <v>1538</v>
      </c>
      <c r="CB501" s="612">
        <v>1449</v>
      </c>
      <c r="CC501" s="612">
        <v>1467</v>
      </c>
      <c r="CD501" s="612">
        <v>1364</v>
      </c>
      <c r="CE501" s="612">
        <v>1286</v>
      </c>
      <c r="CF501" s="612">
        <v>1359</v>
      </c>
      <c r="CG501" s="612">
        <v>1353</v>
      </c>
      <c r="CH501" s="612">
        <v>1306</v>
      </c>
      <c r="CI501" s="612">
        <v>1244</v>
      </c>
      <c r="CJ501" s="612">
        <v>1342</v>
      </c>
      <c r="CK501" s="612">
        <v>991</v>
      </c>
      <c r="CL501" s="612">
        <v>942</v>
      </c>
      <c r="CM501" s="612">
        <v>905</v>
      </c>
      <c r="CN501" s="612">
        <v>742</v>
      </c>
      <c r="CO501" s="612">
        <v>691</v>
      </c>
      <c r="CP501" s="612">
        <v>611</v>
      </c>
      <c r="CQ501" s="612">
        <v>589</v>
      </c>
      <c r="CR501" s="612">
        <v>538</v>
      </c>
      <c r="CS501" s="612">
        <v>490</v>
      </c>
      <c r="CT501" s="612">
        <v>446</v>
      </c>
      <c r="CU501" s="612">
        <v>394</v>
      </c>
      <c r="CV501" s="612">
        <v>368</v>
      </c>
      <c r="CW501" s="612">
        <v>281</v>
      </c>
      <c r="CX501" s="612">
        <v>249</v>
      </c>
      <c r="CY501" s="612">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2">
      <c r="A502" s="31" t="s">
        <v>222</v>
      </c>
      <c r="B502" s="1" t="s">
        <v>675</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612">
        <v>856</v>
      </c>
      <c r="N502" s="612">
        <v>866</v>
      </c>
      <c r="O502" s="612">
        <v>854</v>
      </c>
      <c r="P502" s="612">
        <v>934</v>
      </c>
      <c r="Q502" s="612">
        <v>976</v>
      </c>
      <c r="R502" s="612">
        <v>1016</v>
      </c>
      <c r="S502" s="612">
        <v>1068</v>
      </c>
      <c r="T502" s="612">
        <v>1057</v>
      </c>
      <c r="U502" s="612">
        <v>1032</v>
      </c>
      <c r="V502" s="612">
        <v>1077</v>
      </c>
      <c r="W502" s="612">
        <v>1158</v>
      </c>
      <c r="X502" s="612">
        <v>1168</v>
      </c>
      <c r="Y502" s="612">
        <v>1148</v>
      </c>
      <c r="Z502" s="612">
        <v>1099</v>
      </c>
      <c r="AA502" s="612">
        <v>1137</v>
      </c>
      <c r="AB502" s="612">
        <v>1146</v>
      </c>
      <c r="AC502" s="612">
        <v>1150</v>
      </c>
      <c r="AD502" s="612">
        <v>1098</v>
      </c>
      <c r="AE502" s="612">
        <v>1071</v>
      </c>
      <c r="AF502" s="612">
        <v>898</v>
      </c>
      <c r="AG502" s="612">
        <v>829</v>
      </c>
      <c r="AH502" s="612">
        <v>834</v>
      </c>
      <c r="AI502" s="612">
        <v>847</v>
      </c>
      <c r="AJ502" s="612">
        <v>907</v>
      </c>
      <c r="AK502" s="612">
        <v>957</v>
      </c>
      <c r="AL502" s="612">
        <v>1013</v>
      </c>
      <c r="AM502" s="612">
        <v>1000</v>
      </c>
      <c r="AN502" s="612">
        <v>923</v>
      </c>
      <c r="AO502" s="612">
        <v>977</v>
      </c>
      <c r="AP502" s="612">
        <v>975</v>
      </c>
      <c r="AQ502" s="612">
        <v>1005</v>
      </c>
      <c r="AR502" s="612">
        <v>1049</v>
      </c>
      <c r="AS502" s="612">
        <v>1077</v>
      </c>
      <c r="AT502" s="612">
        <v>1035</v>
      </c>
      <c r="AU502" s="612">
        <v>1116</v>
      </c>
      <c r="AV502" s="612">
        <v>1060</v>
      </c>
      <c r="AW502" s="612">
        <v>1050</v>
      </c>
      <c r="AX502" s="612">
        <v>991</v>
      </c>
      <c r="AY502" s="612">
        <v>1021</v>
      </c>
      <c r="AZ502" s="612">
        <v>1015</v>
      </c>
      <c r="BA502" s="612">
        <v>996</v>
      </c>
      <c r="BB502" s="612">
        <v>1033</v>
      </c>
      <c r="BC502" s="612">
        <v>1042</v>
      </c>
      <c r="BD502" s="612">
        <v>1003</v>
      </c>
      <c r="BE502" s="612">
        <v>929</v>
      </c>
      <c r="BF502" s="612">
        <v>918</v>
      </c>
      <c r="BG502" s="612">
        <v>1008</v>
      </c>
      <c r="BH502" s="612">
        <v>1037</v>
      </c>
      <c r="BI502" s="612">
        <v>1074</v>
      </c>
      <c r="BJ502" s="612">
        <v>1130</v>
      </c>
      <c r="BK502" s="612">
        <v>1203</v>
      </c>
      <c r="BL502" s="612">
        <v>1281</v>
      </c>
      <c r="BM502" s="612">
        <v>1243</v>
      </c>
      <c r="BN502" s="612">
        <v>1231</v>
      </c>
      <c r="BO502" s="612">
        <v>1260</v>
      </c>
      <c r="BP502" s="612">
        <v>1356</v>
      </c>
      <c r="BQ502" s="612">
        <v>1372</v>
      </c>
      <c r="BR502" s="612">
        <v>1413</v>
      </c>
      <c r="BS502" s="612">
        <v>1455</v>
      </c>
      <c r="BT502" s="612">
        <v>1317</v>
      </c>
      <c r="BU502" s="612">
        <v>1416</v>
      </c>
      <c r="BV502" s="612">
        <v>1373</v>
      </c>
      <c r="BW502" s="612">
        <v>1349</v>
      </c>
      <c r="BX502" s="612">
        <v>1279</v>
      </c>
      <c r="BY502" s="612">
        <v>1311</v>
      </c>
      <c r="BZ502" s="612">
        <v>1261</v>
      </c>
      <c r="CA502" s="612">
        <v>1172</v>
      </c>
      <c r="CB502" s="612">
        <v>1270</v>
      </c>
      <c r="CC502" s="612">
        <v>1212</v>
      </c>
      <c r="CD502" s="612">
        <v>1197</v>
      </c>
      <c r="CE502" s="612">
        <v>1164</v>
      </c>
      <c r="CF502" s="612">
        <v>1112</v>
      </c>
      <c r="CG502" s="612">
        <v>1141</v>
      </c>
      <c r="CH502" s="612">
        <v>1175</v>
      </c>
      <c r="CI502" s="612">
        <v>1186</v>
      </c>
      <c r="CJ502" s="612">
        <v>1175</v>
      </c>
      <c r="CK502" s="612">
        <v>999</v>
      </c>
      <c r="CL502" s="612">
        <v>920</v>
      </c>
      <c r="CM502" s="612">
        <v>863</v>
      </c>
      <c r="CN502" s="612">
        <v>789</v>
      </c>
      <c r="CO502" s="612">
        <v>736</v>
      </c>
      <c r="CP502" s="612">
        <v>619</v>
      </c>
      <c r="CQ502" s="612">
        <v>561</v>
      </c>
      <c r="CR502" s="612">
        <v>506</v>
      </c>
      <c r="CS502" s="612">
        <v>445</v>
      </c>
      <c r="CT502" s="612">
        <v>454</v>
      </c>
      <c r="CU502" s="612">
        <v>361</v>
      </c>
      <c r="CV502" s="612">
        <v>330</v>
      </c>
      <c r="CW502" s="612">
        <v>265</v>
      </c>
      <c r="CX502" s="612">
        <v>198</v>
      </c>
      <c r="CY502" s="612">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2">
      <c r="A503" s="31" t="s">
        <v>222</v>
      </c>
      <c r="B503" s="1" t="s">
        <v>676</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612">
        <v>276</v>
      </c>
      <c r="N503" s="612">
        <v>237</v>
      </c>
      <c r="O503" s="612">
        <v>271</v>
      </c>
      <c r="P503" s="612">
        <v>294</v>
      </c>
      <c r="Q503" s="612">
        <v>285</v>
      </c>
      <c r="R503" s="612">
        <v>312</v>
      </c>
      <c r="S503" s="612">
        <v>341</v>
      </c>
      <c r="T503" s="612">
        <v>317</v>
      </c>
      <c r="U503" s="612">
        <v>309</v>
      </c>
      <c r="V503" s="612">
        <v>360</v>
      </c>
      <c r="W503" s="612">
        <v>360</v>
      </c>
      <c r="X503" s="612">
        <v>370</v>
      </c>
      <c r="Y503" s="612">
        <v>368</v>
      </c>
      <c r="Z503" s="612">
        <v>326</v>
      </c>
      <c r="AA503" s="612">
        <v>334</v>
      </c>
      <c r="AB503" s="612">
        <v>346</v>
      </c>
      <c r="AC503" s="612">
        <v>355</v>
      </c>
      <c r="AD503" s="612">
        <v>378</v>
      </c>
      <c r="AE503" s="612">
        <v>435</v>
      </c>
      <c r="AF503" s="612">
        <v>855</v>
      </c>
      <c r="AG503" s="612">
        <v>809</v>
      </c>
      <c r="AH503" s="612">
        <v>767</v>
      </c>
      <c r="AI503" s="612">
        <v>615</v>
      </c>
      <c r="AJ503" s="612">
        <v>548</v>
      </c>
      <c r="AK503" s="612">
        <v>432</v>
      </c>
      <c r="AL503" s="612">
        <v>350</v>
      </c>
      <c r="AM503" s="612">
        <v>336</v>
      </c>
      <c r="AN503" s="612">
        <v>361</v>
      </c>
      <c r="AO503" s="612">
        <v>363</v>
      </c>
      <c r="AP503" s="612">
        <v>307</v>
      </c>
      <c r="AQ503" s="612">
        <v>338</v>
      </c>
      <c r="AR503" s="612">
        <v>347</v>
      </c>
      <c r="AS503" s="612">
        <v>354</v>
      </c>
      <c r="AT503" s="612">
        <v>356</v>
      </c>
      <c r="AU503" s="612">
        <v>352</v>
      </c>
      <c r="AV503" s="612">
        <v>311</v>
      </c>
      <c r="AW503" s="612">
        <v>316</v>
      </c>
      <c r="AX503" s="612">
        <v>334</v>
      </c>
      <c r="AY503" s="612">
        <v>320</v>
      </c>
      <c r="AZ503" s="612">
        <v>335</v>
      </c>
      <c r="BA503" s="612">
        <v>353</v>
      </c>
      <c r="BB503" s="612">
        <v>347</v>
      </c>
      <c r="BC503" s="612">
        <v>316</v>
      </c>
      <c r="BD503" s="612">
        <v>308</v>
      </c>
      <c r="BE503" s="612">
        <v>280</v>
      </c>
      <c r="BF503" s="612">
        <v>309</v>
      </c>
      <c r="BG503" s="612">
        <v>342</v>
      </c>
      <c r="BH503" s="612">
        <v>348</v>
      </c>
      <c r="BI503" s="612">
        <v>356</v>
      </c>
      <c r="BJ503" s="612">
        <v>339</v>
      </c>
      <c r="BK503" s="612">
        <v>402</v>
      </c>
      <c r="BL503" s="612">
        <v>431</v>
      </c>
      <c r="BM503" s="612">
        <v>435</v>
      </c>
      <c r="BN503" s="612">
        <v>504</v>
      </c>
      <c r="BO503" s="612">
        <v>475</v>
      </c>
      <c r="BP503" s="612">
        <v>496</v>
      </c>
      <c r="BQ503" s="612">
        <v>511</v>
      </c>
      <c r="BR503" s="612">
        <v>501</v>
      </c>
      <c r="BS503" s="612">
        <v>541</v>
      </c>
      <c r="BT503" s="612">
        <v>553</v>
      </c>
      <c r="BU503" s="612">
        <v>538</v>
      </c>
      <c r="BV503" s="612">
        <v>517</v>
      </c>
      <c r="BW503" s="612">
        <v>495</v>
      </c>
      <c r="BX503" s="612">
        <v>529</v>
      </c>
      <c r="BY503" s="612">
        <v>518</v>
      </c>
      <c r="BZ503" s="612">
        <v>495</v>
      </c>
      <c r="CA503" s="612">
        <v>519</v>
      </c>
      <c r="CB503" s="612">
        <v>491</v>
      </c>
      <c r="CC503" s="612">
        <v>490</v>
      </c>
      <c r="CD503" s="612">
        <v>448</v>
      </c>
      <c r="CE503" s="612">
        <v>472</v>
      </c>
      <c r="CF503" s="612">
        <v>453</v>
      </c>
      <c r="CG503" s="612">
        <v>454</v>
      </c>
      <c r="CH503" s="612">
        <v>509</v>
      </c>
      <c r="CI503" s="612">
        <v>531</v>
      </c>
      <c r="CJ503" s="612">
        <v>500</v>
      </c>
      <c r="CK503" s="612">
        <v>376</v>
      </c>
      <c r="CL503" s="612">
        <v>376</v>
      </c>
      <c r="CM503" s="612">
        <v>354</v>
      </c>
      <c r="CN503" s="612">
        <v>347</v>
      </c>
      <c r="CO503" s="612">
        <v>289</v>
      </c>
      <c r="CP503" s="612">
        <v>213</v>
      </c>
      <c r="CQ503" s="612">
        <v>241</v>
      </c>
      <c r="CR503" s="612">
        <v>198</v>
      </c>
      <c r="CS503" s="612">
        <v>175</v>
      </c>
      <c r="CT503" s="612">
        <v>168</v>
      </c>
      <c r="CU503" s="612">
        <v>134</v>
      </c>
      <c r="CV503" s="612">
        <v>115</v>
      </c>
      <c r="CW503" s="612">
        <v>97</v>
      </c>
      <c r="CX503" s="612">
        <v>84</v>
      </c>
      <c r="CY503" s="612">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2">
      <c r="A504" s="31" t="s">
        <v>222</v>
      </c>
      <c r="B504" s="1" t="s">
        <v>677</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612">
        <v>483</v>
      </c>
      <c r="N504" s="612">
        <v>469</v>
      </c>
      <c r="O504" s="612">
        <v>522</v>
      </c>
      <c r="P504" s="612">
        <v>523</v>
      </c>
      <c r="Q504" s="612">
        <v>549</v>
      </c>
      <c r="R504" s="612">
        <v>540</v>
      </c>
      <c r="S504" s="612">
        <v>563</v>
      </c>
      <c r="T504" s="612">
        <v>620</v>
      </c>
      <c r="U504" s="612">
        <v>583</v>
      </c>
      <c r="V504" s="612">
        <v>622</v>
      </c>
      <c r="W504" s="612">
        <v>611</v>
      </c>
      <c r="X504" s="612">
        <v>686</v>
      </c>
      <c r="Y504" s="612">
        <v>621</v>
      </c>
      <c r="Z504" s="612">
        <v>634</v>
      </c>
      <c r="AA504" s="612">
        <v>601</v>
      </c>
      <c r="AB504" s="612">
        <v>642</v>
      </c>
      <c r="AC504" s="612">
        <v>627</v>
      </c>
      <c r="AD504" s="612">
        <v>641</v>
      </c>
      <c r="AE504" s="612">
        <v>613</v>
      </c>
      <c r="AF504" s="612">
        <v>404</v>
      </c>
      <c r="AG504" s="612">
        <v>422</v>
      </c>
      <c r="AH504" s="612">
        <v>441</v>
      </c>
      <c r="AI504" s="612">
        <v>543</v>
      </c>
      <c r="AJ504" s="612">
        <v>525</v>
      </c>
      <c r="AK504" s="612">
        <v>583</v>
      </c>
      <c r="AL504" s="612">
        <v>572</v>
      </c>
      <c r="AM504" s="612">
        <v>471</v>
      </c>
      <c r="AN504" s="612">
        <v>561</v>
      </c>
      <c r="AO504" s="612">
        <v>538</v>
      </c>
      <c r="AP504" s="612">
        <v>526</v>
      </c>
      <c r="AQ504" s="612">
        <v>576</v>
      </c>
      <c r="AR504" s="612">
        <v>623</v>
      </c>
      <c r="AS504" s="612">
        <v>576</v>
      </c>
      <c r="AT504" s="612">
        <v>615</v>
      </c>
      <c r="AU504" s="612">
        <v>597</v>
      </c>
      <c r="AV504" s="612">
        <v>594</v>
      </c>
      <c r="AW504" s="612">
        <v>552</v>
      </c>
      <c r="AX504" s="612">
        <v>589</v>
      </c>
      <c r="AY504" s="612">
        <v>559</v>
      </c>
      <c r="AZ504" s="612">
        <v>543</v>
      </c>
      <c r="BA504" s="612">
        <v>551</v>
      </c>
      <c r="BB504" s="612">
        <v>596</v>
      </c>
      <c r="BC504" s="612">
        <v>626</v>
      </c>
      <c r="BD504" s="612">
        <v>555</v>
      </c>
      <c r="BE504" s="612">
        <v>470</v>
      </c>
      <c r="BF504" s="612">
        <v>555</v>
      </c>
      <c r="BG504" s="612">
        <v>559</v>
      </c>
      <c r="BH504" s="612">
        <v>569</v>
      </c>
      <c r="BI504" s="612">
        <v>603</v>
      </c>
      <c r="BJ504" s="612">
        <v>679</v>
      </c>
      <c r="BK504" s="612">
        <v>788</v>
      </c>
      <c r="BL504" s="612">
        <v>775</v>
      </c>
      <c r="BM504" s="612">
        <v>750</v>
      </c>
      <c r="BN504" s="612">
        <v>805</v>
      </c>
      <c r="BO504" s="612">
        <v>775</v>
      </c>
      <c r="BP504" s="612">
        <v>819</v>
      </c>
      <c r="BQ504" s="612">
        <v>862</v>
      </c>
      <c r="BR504" s="612">
        <v>890</v>
      </c>
      <c r="BS504" s="612">
        <v>870</v>
      </c>
      <c r="BT504" s="612">
        <v>881</v>
      </c>
      <c r="BU504" s="612">
        <v>879</v>
      </c>
      <c r="BV504" s="612">
        <v>894</v>
      </c>
      <c r="BW504" s="612">
        <v>876</v>
      </c>
      <c r="BX504" s="612">
        <v>830</v>
      </c>
      <c r="BY504" s="612">
        <v>792</v>
      </c>
      <c r="BZ504" s="612">
        <v>785</v>
      </c>
      <c r="CA504" s="612">
        <v>740</v>
      </c>
      <c r="CB504" s="612">
        <v>717</v>
      </c>
      <c r="CC504" s="612">
        <v>789</v>
      </c>
      <c r="CD504" s="612">
        <v>744</v>
      </c>
      <c r="CE504" s="612">
        <v>734</v>
      </c>
      <c r="CF504" s="612">
        <v>780</v>
      </c>
      <c r="CG504" s="612">
        <v>723</v>
      </c>
      <c r="CH504" s="612">
        <v>809</v>
      </c>
      <c r="CI504" s="612">
        <v>853</v>
      </c>
      <c r="CJ504" s="612">
        <v>851</v>
      </c>
      <c r="CK504" s="612">
        <v>673</v>
      </c>
      <c r="CL504" s="612">
        <v>628</v>
      </c>
      <c r="CM504" s="612">
        <v>602</v>
      </c>
      <c r="CN504" s="612">
        <v>548</v>
      </c>
      <c r="CO504" s="612">
        <v>479</v>
      </c>
      <c r="CP504" s="612">
        <v>400</v>
      </c>
      <c r="CQ504" s="612">
        <v>367</v>
      </c>
      <c r="CR504" s="612">
        <v>373</v>
      </c>
      <c r="CS504" s="612">
        <v>296</v>
      </c>
      <c r="CT504" s="612">
        <v>289</v>
      </c>
      <c r="CU504" s="612">
        <v>267</v>
      </c>
      <c r="CV504" s="612">
        <v>251</v>
      </c>
      <c r="CW504" s="612">
        <v>195</v>
      </c>
      <c r="CX504" s="612">
        <v>194</v>
      </c>
      <c r="CY504" s="612">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2">
      <c r="A505" s="31" t="s">
        <v>222</v>
      </c>
      <c r="B505" s="1" t="s">
        <v>678</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612">
        <v>457</v>
      </c>
      <c r="N505" s="612">
        <v>493</v>
      </c>
      <c r="O505" s="612">
        <v>520</v>
      </c>
      <c r="P505" s="612">
        <v>480</v>
      </c>
      <c r="Q505" s="612">
        <v>486</v>
      </c>
      <c r="R505" s="612">
        <v>551</v>
      </c>
      <c r="S505" s="612">
        <v>523</v>
      </c>
      <c r="T505" s="612">
        <v>558</v>
      </c>
      <c r="U505" s="612">
        <v>524</v>
      </c>
      <c r="V505" s="612">
        <v>561</v>
      </c>
      <c r="W505" s="612">
        <v>567</v>
      </c>
      <c r="X505" s="612">
        <v>592</v>
      </c>
      <c r="Y505" s="612">
        <v>615</v>
      </c>
      <c r="Z505" s="612">
        <v>593</v>
      </c>
      <c r="AA505" s="612">
        <v>609</v>
      </c>
      <c r="AB505" s="612">
        <v>587</v>
      </c>
      <c r="AC505" s="612">
        <v>587</v>
      </c>
      <c r="AD505" s="612">
        <v>627</v>
      </c>
      <c r="AE505" s="612">
        <v>551</v>
      </c>
      <c r="AF505" s="612">
        <v>439</v>
      </c>
      <c r="AG505" s="612">
        <v>422</v>
      </c>
      <c r="AH505" s="612">
        <v>434</v>
      </c>
      <c r="AI505" s="612">
        <v>423</v>
      </c>
      <c r="AJ505" s="612">
        <v>470</v>
      </c>
      <c r="AK505" s="612">
        <v>490</v>
      </c>
      <c r="AL505" s="612">
        <v>482</v>
      </c>
      <c r="AM505" s="612">
        <v>514</v>
      </c>
      <c r="AN505" s="612">
        <v>470</v>
      </c>
      <c r="AO505" s="612">
        <v>500</v>
      </c>
      <c r="AP505" s="612">
        <v>483</v>
      </c>
      <c r="AQ505" s="612">
        <v>507</v>
      </c>
      <c r="AR505" s="612">
        <v>516</v>
      </c>
      <c r="AS505" s="612">
        <v>511</v>
      </c>
      <c r="AT505" s="612">
        <v>471</v>
      </c>
      <c r="AU505" s="612">
        <v>530</v>
      </c>
      <c r="AV505" s="612">
        <v>513</v>
      </c>
      <c r="AW505" s="612">
        <v>510</v>
      </c>
      <c r="AX505" s="612">
        <v>477</v>
      </c>
      <c r="AY505" s="612">
        <v>509</v>
      </c>
      <c r="AZ505" s="612">
        <v>424</v>
      </c>
      <c r="BA505" s="612">
        <v>488</v>
      </c>
      <c r="BB505" s="612">
        <v>496</v>
      </c>
      <c r="BC505" s="612">
        <v>500</v>
      </c>
      <c r="BD505" s="612">
        <v>478</v>
      </c>
      <c r="BE505" s="612">
        <v>422</v>
      </c>
      <c r="BF505" s="612">
        <v>464</v>
      </c>
      <c r="BG505" s="612">
        <v>515</v>
      </c>
      <c r="BH505" s="612">
        <v>516</v>
      </c>
      <c r="BI505" s="612">
        <v>525</v>
      </c>
      <c r="BJ505" s="612">
        <v>532</v>
      </c>
      <c r="BK505" s="612">
        <v>646</v>
      </c>
      <c r="BL505" s="612">
        <v>654</v>
      </c>
      <c r="BM505" s="612">
        <v>645</v>
      </c>
      <c r="BN505" s="612">
        <v>662</v>
      </c>
      <c r="BO505" s="612">
        <v>643</v>
      </c>
      <c r="BP505" s="612">
        <v>715</v>
      </c>
      <c r="BQ505" s="612">
        <v>681</v>
      </c>
      <c r="BR505" s="612">
        <v>758</v>
      </c>
      <c r="BS505" s="612">
        <v>746</v>
      </c>
      <c r="BT505" s="612">
        <v>697</v>
      </c>
      <c r="BU505" s="612">
        <v>737</v>
      </c>
      <c r="BV505" s="612">
        <v>654</v>
      </c>
      <c r="BW505" s="612">
        <v>713</v>
      </c>
      <c r="BX505" s="612">
        <v>665</v>
      </c>
      <c r="BY505" s="612">
        <v>635</v>
      </c>
      <c r="BZ505" s="612">
        <v>637</v>
      </c>
      <c r="CA505" s="612">
        <v>603</v>
      </c>
      <c r="CB505" s="612">
        <v>603</v>
      </c>
      <c r="CC505" s="612">
        <v>596</v>
      </c>
      <c r="CD505" s="612">
        <v>599</v>
      </c>
      <c r="CE505" s="612">
        <v>543</v>
      </c>
      <c r="CF505" s="612">
        <v>547</v>
      </c>
      <c r="CG505" s="612">
        <v>614</v>
      </c>
      <c r="CH505" s="612">
        <v>653</v>
      </c>
      <c r="CI505" s="612">
        <v>674</v>
      </c>
      <c r="CJ505" s="612">
        <v>666</v>
      </c>
      <c r="CK505" s="612">
        <v>469</v>
      </c>
      <c r="CL505" s="612">
        <v>446</v>
      </c>
      <c r="CM505" s="612">
        <v>473</v>
      </c>
      <c r="CN505" s="612">
        <v>443</v>
      </c>
      <c r="CO505" s="612">
        <v>359</v>
      </c>
      <c r="CP505" s="612">
        <v>328</v>
      </c>
      <c r="CQ505" s="612">
        <v>290</v>
      </c>
      <c r="CR505" s="612">
        <v>259</v>
      </c>
      <c r="CS505" s="612">
        <v>236</v>
      </c>
      <c r="CT505" s="612">
        <v>224</v>
      </c>
      <c r="CU505" s="612">
        <v>181</v>
      </c>
      <c r="CV505" s="612">
        <v>162</v>
      </c>
      <c r="CW505" s="612">
        <v>127</v>
      </c>
      <c r="CX505" s="612">
        <v>108</v>
      </c>
      <c r="CY505" s="612">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2">
      <c r="A506" s="31" t="s">
        <v>222</v>
      </c>
      <c r="B506" s="1" t="s">
        <v>679</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612">
        <v>701</v>
      </c>
      <c r="N506" s="612">
        <v>780</v>
      </c>
      <c r="O506" s="612">
        <v>775</v>
      </c>
      <c r="P506" s="612">
        <v>770</v>
      </c>
      <c r="Q506" s="612">
        <v>817</v>
      </c>
      <c r="R506" s="612">
        <v>825</v>
      </c>
      <c r="S506" s="612">
        <v>849</v>
      </c>
      <c r="T506" s="612">
        <v>888</v>
      </c>
      <c r="U506" s="612">
        <v>904</v>
      </c>
      <c r="V506" s="612">
        <v>899</v>
      </c>
      <c r="W506" s="612">
        <v>971</v>
      </c>
      <c r="X506" s="612">
        <v>933</v>
      </c>
      <c r="Y506" s="612">
        <v>1008</v>
      </c>
      <c r="Z506" s="612">
        <v>933</v>
      </c>
      <c r="AA506" s="612">
        <v>1033</v>
      </c>
      <c r="AB506" s="612">
        <v>950</v>
      </c>
      <c r="AC506" s="612">
        <v>903</v>
      </c>
      <c r="AD506" s="612">
        <v>944</v>
      </c>
      <c r="AE506" s="612">
        <v>881</v>
      </c>
      <c r="AF506" s="612">
        <v>661</v>
      </c>
      <c r="AG506" s="612">
        <v>648</v>
      </c>
      <c r="AH506" s="612">
        <v>673</v>
      </c>
      <c r="AI506" s="612">
        <v>728</v>
      </c>
      <c r="AJ506" s="612">
        <v>844</v>
      </c>
      <c r="AK506" s="612">
        <v>853</v>
      </c>
      <c r="AL506" s="612">
        <v>829</v>
      </c>
      <c r="AM506" s="612">
        <v>799</v>
      </c>
      <c r="AN506" s="612">
        <v>822</v>
      </c>
      <c r="AO506" s="612">
        <v>837</v>
      </c>
      <c r="AP506" s="612">
        <v>879</v>
      </c>
      <c r="AQ506" s="612">
        <v>1004</v>
      </c>
      <c r="AR506" s="612">
        <v>928</v>
      </c>
      <c r="AS506" s="612">
        <v>919</v>
      </c>
      <c r="AT506" s="612">
        <v>961</v>
      </c>
      <c r="AU506" s="612">
        <v>970</v>
      </c>
      <c r="AV506" s="612">
        <v>947</v>
      </c>
      <c r="AW506" s="612">
        <v>978</v>
      </c>
      <c r="AX506" s="612">
        <v>903</v>
      </c>
      <c r="AY506" s="612">
        <v>860</v>
      </c>
      <c r="AZ506" s="612">
        <v>889</v>
      </c>
      <c r="BA506" s="612">
        <v>925</v>
      </c>
      <c r="BB506" s="612">
        <v>916</v>
      </c>
      <c r="BC506" s="612">
        <v>930</v>
      </c>
      <c r="BD506" s="612">
        <v>875</v>
      </c>
      <c r="BE506" s="612">
        <v>855</v>
      </c>
      <c r="BF506" s="612">
        <v>802</v>
      </c>
      <c r="BG506" s="612">
        <v>825</v>
      </c>
      <c r="BH506" s="612">
        <v>925</v>
      </c>
      <c r="BI506" s="612">
        <v>970</v>
      </c>
      <c r="BJ506" s="612">
        <v>989</v>
      </c>
      <c r="BK506" s="612">
        <v>1124</v>
      </c>
      <c r="BL506" s="612">
        <v>1159</v>
      </c>
      <c r="BM506" s="612">
        <v>1172</v>
      </c>
      <c r="BN506" s="612">
        <v>1222</v>
      </c>
      <c r="BO506" s="612">
        <v>1193</v>
      </c>
      <c r="BP506" s="612">
        <v>1115</v>
      </c>
      <c r="BQ506" s="612">
        <v>1116</v>
      </c>
      <c r="BR506" s="612">
        <v>1156</v>
      </c>
      <c r="BS506" s="612">
        <v>1196</v>
      </c>
      <c r="BT506" s="612">
        <v>1096</v>
      </c>
      <c r="BU506" s="612">
        <v>1149</v>
      </c>
      <c r="BV506" s="612">
        <v>1060</v>
      </c>
      <c r="BW506" s="612">
        <v>1024</v>
      </c>
      <c r="BX506" s="612">
        <v>1036</v>
      </c>
      <c r="BY506" s="612">
        <v>912</v>
      </c>
      <c r="BZ506" s="612">
        <v>883</v>
      </c>
      <c r="CA506" s="612">
        <v>867</v>
      </c>
      <c r="CB506" s="612">
        <v>793</v>
      </c>
      <c r="CC506" s="612">
        <v>812</v>
      </c>
      <c r="CD506" s="612">
        <v>850</v>
      </c>
      <c r="CE506" s="612">
        <v>761</v>
      </c>
      <c r="CF506" s="612">
        <v>877</v>
      </c>
      <c r="CG506" s="612">
        <v>832</v>
      </c>
      <c r="CH506" s="612">
        <v>891</v>
      </c>
      <c r="CI506" s="612">
        <v>922</v>
      </c>
      <c r="CJ506" s="612">
        <v>1006</v>
      </c>
      <c r="CK506" s="612">
        <v>637</v>
      </c>
      <c r="CL506" s="612">
        <v>646</v>
      </c>
      <c r="CM506" s="612">
        <v>660</v>
      </c>
      <c r="CN506" s="612">
        <v>553</v>
      </c>
      <c r="CO506" s="612">
        <v>481</v>
      </c>
      <c r="CP506" s="612">
        <v>430</v>
      </c>
      <c r="CQ506" s="612">
        <v>426</v>
      </c>
      <c r="CR506" s="612">
        <v>354</v>
      </c>
      <c r="CS506" s="612">
        <v>350</v>
      </c>
      <c r="CT506" s="612">
        <v>287</v>
      </c>
      <c r="CU506" s="612">
        <v>257</v>
      </c>
      <c r="CV506" s="612">
        <v>212</v>
      </c>
      <c r="CW506" s="612">
        <v>170</v>
      </c>
      <c r="CX506" s="612">
        <v>138</v>
      </c>
      <c r="CY506" s="612">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2">
      <c r="A507" s="31" t="s">
        <v>222</v>
      </c>
      <c r="B507" s="1" t="s">
        <v>680</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612">
        <v>554</v>
      </c>
      <c r="N507" s="612">
        <v>518</v>
      </c>
      <c r="O507" s="612">
        <v>550</v>
      </c>
      <c r="P507" s="612">
        <v>548</v>
      </c>
      <c r="Q507" s="612">
        <v>593</v>
      </c>
      <c r="R507" s="612">
        <v>563</v>
      </c>
      <c r="S507" s="612">
        <v>656</v>
      </c>
      <c r="T507" s="612">
        <v>596</v>
      </c>
      <c r="U507" s="612">
        <v>662</v>
      </c>
      <c r="V507" s="612">
        <v>660</v>
      </c>
      <c r="W507" s="612">
        <v>664</v>
      </c>
      <c r="X507" s="612">
        <v>666</v>
      </c>
      <c r="Y507" s="612">
        <v>714</v>
      </c>
      <c r="Z507" s="612">
        <v>665</v>
      </c>
      <c r="AA507" s="612">
        <v>674</v>
      </c>
      <c r="AB507" s="612">
        <v>671</v>
      </c>
      <c r="AC507" s="612">
        <v>653</v>
      </c>
      <c r="AD507" s="612">
        <v>618</v>
      </c>
      <c r="AE507" s="612">
        <v>660</v>
      </c>
      <c r="AF507" s="612">
        <v>869</v>
      </c>
      <c r="AG507" s="612">
        <v>893</v>
      </c>
      <c r="AH507" s="612">
        <v>930</v>
      </c>
      <c r="AI507" s="612">
        <v>871</v>
      </c>
      <c r="AJ507" s="612">
        <v>777</v>
      </c>
      <c r="AK507" s="612">
        <v>709</v>
      </c>
      <c r="AL507" s="612">
        <v>648</v>
      </c>
      <c r="AM507" s="612">
        <v>637</v>
      </c>
      <c r="AN507" s="612">
        <v>635</v>
      </c>
      <c r="AO507" s="612">
        <v>676</v>
      </c>
      <c r="AP507" s="612">
        <v>659</v>
      </c>
      <c r="AQ507" s="612">
        <v>661</v>
      </c>
      <c r="AR507" s="612">
        <v>643</v>
      </c>
      <c r="AS507" s="612">
        <v>663</v>
      </c>
      <c r="AT507" s="612">
        <v>677</v>
      </c>
      <c r="AU507" s="612">
        <v>680</v>
      </c>
      <c r="AV507" s="612">
        <v>704</v>
      </c>
      <c r="AW507" s="612">
        <v>572</v>
      </c>
      <c r="AX507" s="612">
        <v>595</v>
      </c>
      <c r="AY507" s="612">
        <v>582</v>
      </c>
      <c r="AZ507" s="612">
        <v>586</v>
      </c>
      <c r="BA507" s="612">
        <v>589</v>
      </c>
      <c r="BB507" s="612">
        <v>603</v>
      </c>
      <c r="BC507" s="612">
        <v>613</v>
      </c>
      <c r="BD507" s="612">
        <v>569</v>
      </c>
      <c r="BE507" s="612">
        <v>557</v>
      </c>
      <c r="BF507" s="612">
        <v>575</v>
      </c>
      <c r="BG507" s="612">
        <v>581</v>
      </c>
      <c r="BH507" s="612">
        <v>606</v>
      </c>
      <c r="BI507" s="612">
        <v>678</v>
      </c>
      <c r="BJ507" s="612">
        <v>722</v>
      </c>
      <c r="BK507" s="612">
        <v>767</v>
      </c>
      <c r="BL507" s="612">
        <v>811</v>
      </c>
      <c r="BM507" s="612">
        <v>804</v>
      </c>
      <c r="BN507" s="612">
        <v>775</v>
      </c>
      <c r="BO507" s="612">
        <v>801</v>
      </c>
      <c r="BP507" s="612">
        <v>799</v>
      </c>
      <c r="BQ507" s="612">
        <v>858</v>
      </c>
      <c r="BR507" s="612">
        <v>866</v>
      </c>
      <c r="BS507" s="612">
        <v>874</v>
      </c>
      <c r="BT507" s="612">
        <v>888</v>
      </c>
      <c r="BU507" s="612">
        <v>867</v>
      </c>
      <c r="BV507" s="612">
        <v>849</v>
      </c>
      <c r="BW507" s="612">
        <v>771</v>
      </c>
      <c r="BX507" s="612">
        <v>768</v>
      </c>
      <c r="BY507" s="612">
        <v>811</v>
      </c>
      <c r="BZ507" s="612">
        <v>756</v>
      </c>
      <c r="CA507" s="612">
        <v>711</v>
      </c>
      <c r="CB507" s="612">
        <v>727</v>
      </c>
      <c r="CC507" s="612">
        <v>675</v>
      </c>
      <c r="CD507" s="612">
        <v>709</v>
      </c>
      <c r="CE507" s="612">
        <v>650</v>
      </c>
      <c r="CF507" s="612">
        <v>649</v>
      </c>
      <c r="CG507" s="612">
        <v>649</v>
      </c>
      <c r="CH507" s="612">
        <v>729</v>
      </c>
      <c r="CI507" s="612">
        <v>764</v>
      </c>
      <c r="CJ507" s="612">
        <v>736</v>
      </c>
      <c r="CK507" s="612">
        <v>589</v>
      </c>
      <c r="CL507" s="612">
        <v>522</v>
      </c>
      <c r="CM507" s="612">
        <v>521</v>
      </c>
      <c r="CN507" s="612">
        <v>483</v>
      </c>
      <c r="CO507" s="612">
        <v>379</v>
      </c>
      <c r="CP507" s="612">
        <v>308</v>
      </c>
      <c r="CQ507" s="612">
        <v>331</v>
      </c>
      <c r="CR507" s="612">
        <v>327</v>
      </c>
      <c r="CS507" s="612">
        <v>274</v>
      </c>
      <c r="CT507" s="612">
        <v>248</v>
      </c>
      <c r="CU507" s="612">
        <v>221</v>
      </c>
      <c r="CV507" s="612">
        <v>181</v>
      </c>
      <c r="CW507" s="612">
        <v>162</v>
      </c>
      <c r="CX507" s="612">
        <v>135</v>
      </c>
      <c r="CY507" s="612">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2">
      <c r="A508" s="31" t="s">
        <v>222</v>
      </c>
      <c r="B508" s="1" t="s">
        <v>681</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612">
        <v>273</v>
      </c>
      <c r="N508" s="612">
        <v>322</v>
      </c>
      <c r="O508" s="612">
        <v>305</v>
      </c>
      <c r="P508" s="612">
        <v>320</v>
      </c>
      <c r="Q508" s="612">
        <v>334</v>
      </c>
      <c r="R508" s="612">
        <v>383</v>
      </c>
      <c r="S508" s="612">
        <v>383</v>
      </c>
      <c r="T508" s="612">
        <v>361</v>
      </c>
      <c r="U508" s="612">
        <v>383</v>
      </c>
      <c r="V508" s="612">
        <v>411</v>
      </c>
      <c r="W508" s="612">
        <v>394</v>
      </c>
      <c r="X508" s="612">
        <v>440</v>
      </c>
      <c r="Y508" s="612">
        <v>405</v>
      </c>
      <c r="Z508" s="612">
        <v>438</v>
      </c>
      <c r="AA508" s="612">
        <v>385</v>
      </c>
      <c r="AB508" s="612">
        <v>392</v>
      </c>
      <c r="AC508" s="612">
        <v>391</v>
      </c>
      <c r="AD508" s="612">
        <v>389</v>
      </c>
      <c r="AE508" s="612">
        <v>348</v>
      </c>
      <c r="AF508" s="612">
        <v>299</v>
      </c>
      <c r="AG508" s="612">
        <v>302</v>
      </c>
      <c r="AH508" s="612">
        <v>273</v>
      </c>
      <c r="AI508" s="612">
        <v>297</v>
      </c>
      <c r="AJ508" s="612">
        <v>367</v>
      </c>
      <c r="AK508" s="612">
        <v>299</v>
      </c>
      <c r="AL508" s="612">
        <v>316</v>
      </c>
      <c r="AM508" s="612">
        <v>341</v>
      </c>
      <c r="AN508" s="612">
        <v>319</v>
      </c>
      <c r="AO508" s="612">
        <v>363</v>
      </c>
      <c r="AP508" s="612">
        <v>338</v>
      </c>
      <c r="AQ508" s="612">
        <v>332</v>
      </c>
      <c r="AR508" s="612">
        <v>349</v>
      </c>
      <c r="AS508" s="612">
        <v>346</v>
      </c>
      <c r="AT508" s="612">
        <v>349</v>
      </c>
      <c r="AU508" s="612">
        <v>381</v>
      </c>
      <c r="AV508" s="612">
        <v>373</v>
      </c>
      <c r="AW508" s="612">
        <v>310</v>
      </c>
      <c r="AX508" s="612">
        <v>347</v>
      </c>
      <c r="AY508" s="612">
        <v>371</v>
      </c>
      <c r="AZ508" s="612">
        <v>328</v>
      </c>
      <c r="BA508" s="612">
        <v>331</v>
      </c>
      <c r="BB508" s="612">
        <v>346</v>
      </c>
      <c r="BC508" s="612">
        <v>345</v>
      </c>
      <c r="BD508" s="612">
        <v>373</v>
      </c>
      <c r="BE508" s="612">
        <v>321</v>
      </c>
      <c r="BF508" s="612">
        <v>306</v>
      </c>
      <c r="BG508" s="612">
        <v>326</v>
      </c>
      <c r="BH508" s="612">
        <v>357</v>
      </c>
      <c r="BI508" s="612">
        <v>373</v>
      </c>
      <c r="BJ508" s="612">
        <v>436</v>
      </c>
      <c r="BK508" s="612">
        <v>448</v>
      </c>
      <c r="BL508" s="612">
        <v>493</v>
      </c>
      <c r="BM508" s="612">
        <v>440</v>
      </c>
      <c r="BN508" s="612">
        <v>466</v>
      </c>
      <c r="BO508" s="612">
        <v>481</v>
      </c>
      <c r="BP508" s="612">
        <v>523</v>
      </c>
      <c r="BQ508" s="612">
        <v>490</v>
      </c>
      <c r="BR508" s="612">
        <v>546</v>
      </c>
      <c r="BS508" s="612">
        <v>515</v>
      </c>
      <c r="BT508" s="612">
        <v>563</v>
      </c>
      <c r="BU508" s="612">
        <v>503</v>
      </c>
      <c r="BV508" s="612">
        <v>511</v>
      </c>
      <c r="BW508" s="612">
        <v>539</v>
      </c>
      <c r="BX508" s="612">
        <v>521</v>
      </c>
      <c r="BY508" s="612">
        <v>482</v>
      </c>
      <c r="BZ508" s="612">
        <v>468</v>
      </c>
      <c r="CA508" s="612">
        <v>489</v>
      </c>
      <c r="CB508" s="612">
        <v>476</v>
      </c>
      <c r="CC508" s="612">
        <v>458</v>
      </c>
      <c r="CD508" s="612">
        <v>460</v>
      </c>
      <c r="CE508" s="612">
        <v>458</v>
      </c>
      <c r="CF508" s="612">
        <v>438</v>
      </c>
      <c r="CG508" s="612">
        <v>468</v>
      </c>
      <c r="CH508" s="612">
        <v>490</v>
      </c>
      <c r="CI508" s="612">
        <v>504</v>
      </c>
      <c r="CJ508" s="612">
        <v>484</v>
      </c>
      <c r="CK508" s="612">
        <v>343</v>
      </c>
      <c r="CL508" s="612">
        <v>365</v>
      </c>
      <c r="CM508" s="612">
        <v>374</v>
      </c>
      <c r="CN508" s="612">
        <v>344</v>
      </c>
      <c r="CO508" s="612">
        <v>273</v>
      </c>
      <c r="CP508" s="612">
        <v>244</v>
      </c>
      <c r="CQ508" s="612">
        <v>233</v>
      </c>
      <c r="CR508" s="612">
        <v>249</v>
      </c>
      <c r="CS508" s="612">
        <v>194</v>
      </c>
      <c r="CT508" s="612">
        <v>174</v>
      </c>
      <c r="CU508" s="612">
        <v>143</v>
      </c>
      <c r="CV508" s="612">
        <v>115</v>
      </c>
      <c r="CW508" s="612">
        <v>82</v>
      </c>
      <c r="CX508" s="612">
        <v>77</v>
      </c>
      <c r="CY508" s="612">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2">
      <c r="A509" s="31" t="s">
        <v>222</v>
      </c>
      <c r="B509" s="1" t="s">
        <v>682</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612">
        <v>322</v>
      </c>
      <c r="N509" s="612">
        <v>325</v>
      </c>
      <c r="O509" s="612">
        <v>329</v>
      </c>
      <c r="P509" s="612">
        <v>309</v>
      </c>
      <c r="Q509" s="612">
        <v>371</v>
      </c>
      <c r="R509" s="612">
        <v>402</v>
      </c>
      <c r="S509" s="612">
        <v>381</v>
      </c>
      <c r="T509" s="612">
        <v>384</v>
      </c>
      <c r="U509" s="612">
        <v>350</v>
      </c>
      <c r="V509" s="612">
        <v>355</v>
      </c>
      <c r="W509" s="612">
        <v>378</v>
      </c>
      <c r="X509" s="612">
        <v>405</v>
      </c>
      <c r="Y509" s="612">
        <v>360</v>
      </c>
      <c r="Z509" s="612">
        <v>363</v>
      </c>
      <c r="AA509" s="612">
        <v>375</v>
      </c>
      <c r="AB509" s="612">
        <v>379</v>
      </c>
      <c r="AC509" s="612">
        <v>337</v>
      </c>
      <c r="AD509" s="612">
        <v>307</v>
      </c>
      <c r="AE509" s="612">
        <v>319</v>
      </c>
      <c r="AF509" s="612">
        <v>333</v>
      </c>
      <c r="AG509" s="612">
        <v>297</v>
      </c>
      <c r="AH509" s="612">
        <v>289</v>
      </c>
      <c r="AI509" s="612">
        <v>333</v>
      </c>
      <c r="AJ509" s="612">
        <v>329</v>
      </c>
      <c r="AK509" s="612">
        <v>314</v>
      </c>
      <c r="AL509" s="612">
        <v>356</v>
      </c>
      <c r="AM509" s="612">
        <v>342</v>
      </c>
      <c r="AN509" s="612">
        <v>329</v>
      </c>
      <c r="AO509" s="612">
        <v>375</v>
      </c>
      <c r="AP509" s="612">
        <v>373</v>
      </c>
      <c r="AQ509" s="612">
        <v>362</v>
      </c>
      <c r="AR509" s="612">
        <v>382</v>
      </c>
      <c r="AS509" s="612">
        <v>390</v>
      </c>
      <c r="AT509" s="612">
        <v>371</v>
      </c>
      <c r="AU509" s="612">
        <v>386</v>
      </c>
      <c r="AV509" s="612">
        <v>397</v>
      </c>
      <c r="AW509" s="612">
        <v>396</v>
      </c>
      <c r="AX509" s="612">
        <v>417</v>
      </c>
      <c r="AY509" s="612">
        <v>405</v>
      </c>
      <c r="AZ509" s="612">
        <v>353</v>
      </c>
      <c r="BA509" s="612">
        <v>345</v>
      </c>
      <c r="BB509" s="612">
        <v>368</v>
      </c>
      <c r="BC509" s="612">
        <v>386</v>
      </c>
      <c r="BD509" s="612">
        <v>340</v>
      </c>
      <c r="BE509" s="612">
        <v>284</v>
      </c>
      <c r="BF509" s="612">
        <v>280</v>
      </c>
      <c r="BG509" s="612">
        <v>319</v>
      </c>
      <c r="BH509" s="612">
        <v>331</v>
      </c>
      <c r="BI509" s="612">
        <v>303</v>
      </c>
      <c r="BJ509" s="612">
        <v>340</v>
      </c>
      <c r="BK509" s="612">
        <v>362</v>
      </c>
      <c r="BL509" s="612">
        <v>394</v>
      </c>
      <c r="BM509" s="612">
        <v>378</v>
      </c>
      <c r="BN509" s="612">
        <v>423</v>
      </c>
      <c r="BO509" s="612">
        <v>387</v>
      </c>
      <c r="BP509" s="612">
        <v>385</v>
      </c>
      <c r="BQ509" s="612">
        <v>419</v>
      </c>
      <c r="BR509" s="612">
        <v>416</v>
      </c>
      <c r="BS509" s="612">
        <v>421</v>
      </c>
      <c r="BT509" s="612">
        <v>381</v>
      </c>
      <c r="BU509" s="612">
        <v>405</v>
      </c>
      <c r="BV509" s="612">
        <v>379</v>
      </c>
      <c r="BW509" s="612">
        <v>383</v>
      </c>
      <c r="BX509" s="612">
        <v>405</v>
      </c>
      <c r="BY509" s="612">
        <v>393</v>
      </c>
      <c r="BZ509" s="612">
        <v>324</v>
      </c>
      <c r="CA509" s="612">
        <v>306</v>
      </c>
      <c r="CB509" s="612">
        <v>295</v>
      </c>
      <c r="CC509" s="612">
        <v>323</v>
      </c>
      <c r="CD509" s="612">
        <v>301</v>
      </c>
      <c r="CE509" s="612">
        <v>295</v>
      </c>
      <c r="CF509" s="612">
        <v>300</v>
      </c>
      <c r="CG509" s="612">
        <v>276</v>
      </c>
      <c r="CH509" s="612">
        <v>314</v>
      </c>
      <c r="CI509" s="612">
        <v>295</v>
      </c>
      <c r="CJ509" s="612">
        <v>264</v>
      </c>
      <c r="CK509" s="612">
        <v>208</v>
      </c>
      <c r="CL509" s="612">
        <v>225</v>
      </c>
      <c r="CM509" s="612">
        <v>219</v>
      </c>
      <c r="CN509" s="612">
        <v>190</v>
      </c>
      <c r="CO509" s="612">
        <v>177</v>
      </c>
      <c r="CP509" s="612">
        <v>123</v>
      </c>
      <c r="CQ509" s="612">
        <v>131</v>
      </c>
      <c r="CR509" s="612">
        <v>119</v>
      </c>
      <c r="CS509" s="612">
        <v>109</v>
      </c>
      <c r="CT509" s="612">
        <v>95</v>
      </c>
      <c r="CU509" s="612">
        <v>84</v>
      </c>
      <c r="CV509" s="612">
        <v>76</v>
      </c>
      <c r="CW509" s="612">
        <v>50</v>
      </c>
      <c r="CX509" s="612">
        <v>44</v>
      </c>
      <c r="CY509" s="612">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2">
      <c r="A510" s="31" t="s">
        <v>222</v>
      </c>
      <c r="B510" s="1" t="s">
        <v>683</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612">
        <v>377</v>
      </c>
      <c r="N510" s="612">
        <v>383</v>
      </c>
      <c r="O510" s="612">
        <v>404</v>
      </c>
      <c r="P510" s="612">
        <v>394</v>
      </c>
      <c r="Q510" s="612">
        <v>447</v>
      </c>
      <c r="R510" s="612">
        <v>478</v>
      </c>
      <c r="S510" s="612">
        <v>490</v>
      </c>
      <c r="T510" s="612">
        <v>485</v>
      </c>
      <c r="U510" s="612">
        <v>489</v>
      </c>
      <c r="V510" s="612">
        <v>501</v>
      </c>
      <c r="W510" s="612">
        <v>531</v>
      </c>
      <c r="X510" s="612">
        <v>542</v>
      </c>
      <c r="Y510" s="612">
        <v>515</v>
      </c>
      <c r="Z510" s="612">
        <v>563</v>
      </c>
      <c r="AA510" s="612">
        <v>550</v>
      </c>
      <c r="AB510" s="612">
        <v>559</v>
      </c>
      <c r="AC510" s="612">
        <v>524</v>
      </c>
      <c r="AD510" s="612">
        <v>545</v>
      </c>
      <c r="AE510" s="612">
        <v>490</v>
      </c>
      <c r="AF510" s="612">
        <v>319</v>
      </c>
      <c r="AG510" s="612">
        <v>335</v>
      </c>
      <c r="AH510" s="612">
        <v>372</v>
      </c>
      <c r="AI510" s="612">
        <v>418</v>
      </c>
      <c r="AJ510" s="612">
        <v>441</v>
      </c>
      <c r="AK510" s="612">
        <v>398</v>
      </c>
      <c r="AL510" s="612">
        <v>495</v>
      </c>
      <c r="AM510" s="612">
        <v>449</v>
      </c>
      <c r="AN510" s="612">
        <v>462</v>
      </c>
      <c r="AO510" s="612">
        <v>457</v>
      </c>
      <c r="AP510" s="612">
        <v>442</v>
      </c>
      <c r="AQ510" s="612">
        <v>500</v>
      </c>
      <c r="AR510" s="612">
        <v>537</v>
      </c>
      <c r="AS510" s="612">
        <v>477</v>
      </c>
      <c r="AT510" s="612">
        <v>516</v>
      </c>
      <c r="AU510" s="612">
        <v>453</v>
      </c>
      <c r="AV510" s="612">
        <v>485</v>
      </c>
      <c r="AW510" s="612">
        <v>490</v>
      </c>
      <c r="AX510" s="612">
        <v>484</v>
      </c>
      <c r="AY510" s="612">
        <v>482</v>
      </c>
      <c r="AZ510" s="612">
        <v>486</v>
      </c>
      <c r="BA510" s="612">
        <v>499</v>
      </c>
      <c r="BB510" s="612">
        <v>471</v>
      </c>
      <c r="BC510" s="612">
        <v>509</v>
      </c>
      <c r="BD510" s="612">
        <v>520</v>
      </c>
      <c r="BE510" s="612">
        <v>463</v>
      </c>
      <c r="BF510" s="612">
        <v>519</v>
      </c>
      <c r="BG510" s="612">
        <v>496</v>
      </c>
      <c r="BH510" s="612">
        <v>549</v>
      </c>
      <c r="BI510" s="612">
        <v>538</v>
      </c>
      <c r="BJ510" s="612">
        <v>592</v>
      </c>
      <c r="BK510" s="612">
        <v>667</v>
      </c>
      <c r="BL510" s="612">
        <v>708</v>
      </c>
      <c r="BM510" s="612">
        <v>648</v>
      </c>
      <c r="BN510" s="612">
        <v>693</v>
      </c>
      <c r="BO510" s="612">
        <v>749</v>
      </c>
      <c r="BP510" s="612">
        <v>752</v>
      </c>
      <c r="BQ510" s="612">
        <v>784</v>
      </c>
      <c r="BR510" s="612">
        <v>766</v>
      </c>
      <c r="BS510" s="612">
        <v>756</v>
      </c>
      <c r="BT510" s="612">
        <v>782</v>
      </c>
      <c r="BU510" s="612">
        <v>721</v>
      </c>
      <c r="BV510" s="612">
        <v>717</v>
      </c>
      <c r="BW510" s="612">
        <v>665</v>
      </c>
      <c r="BX510" s="612">
        <v>635</v>
      </c>
      <c r="BY510" s="612">
        <v>685</v>
      </c>
      <c r="BZ510" s="612">
        <v>628</v>
      </c>
      <c r="CA510" s="612">
        <v>575</v>
      </c>
      <c r="CB510" s="612">
        <v>602</v>
      </c>
      <c r="CC510" s="612">
        <v>554</v>
      </c>
      <c r="CD510" s="612">
        <v>603</v>
      </c>
      <c r="CE510" s="612">
        <v>611</v>
      </c>
      <c r="CF510" s="612">
        <v>578</v>
      </c>
      <c r="CG510" s="612">
        <v>625</v>
      </c>
      <c r="CH510" s="612">
        <v>605</v>
      </c>
      <c r="CI510" s="612">
        <v>606</v>
      </c>
      <c r="CJ510" s="612">
        <v>658</v>
      </c>
      <c r="CK510" s="612">
        <v>487</v>
      </c>
      <c r="CL510" s="612">
        <v>470</v>
      </c>
      <c r="CM510" s="612">
        <v>490</v>
      </c>
      <c r="CN510" s="612">
        <v>437</v>
      </c>
      <c r="CO510" s="612">
        <v>368</v>
      </c>
      <c r="CP510" s="612">
        <v>310</v>
      </c>
      <c r="CQ510" s="612">
        <v>342</v>
      </c>
      <c r="CR510" s="612">
        <v>275</v>
      </c>
      <c r="CS510" s="612">
        <v>241</v>
      </c>
      <c r="CT510" s="612">
        <v>224</v>
      </c>
      <c r="CU510" s="612">
        <v>217</v>
      </c>
      <c r="CV510" s="612">
        <v>168</v>
      </c>
      <c r="CW510" s="612">
        <v>170</v>
      </c>
      <c r="CX510" s="612">
        <v>145</v>
      </c>
      <c r="CY510" s="612">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2">
      <c r="A511" s="31" t="s">
        <v>222</v>
      </c>
      <c r="B511" s="1" t="s">
        <v>684</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612">
        <v>636</v>
      </c>
      <c r="N511" s="612">
        <v>642</v>
      </c>
      <c r="O511" s="612">
        <v>647</v>
      </c>
      <c r="P511" s="612">
        <v>707</v>
      </c>
      <c r="Q511" s="612">
        <v>762</v>
      </c>
      <c r="R511" s="612">
        <v>761</v>
      </c>
      <c r="S511" s="612">
        <v>825</v>
      </c>
      <c r="T511" s="612">
        <v>811</v>
      </c>
      <c r="U511" s="612">
        <v>818</v>
      </c>
      <c r="V511" s="612">
        <v>783</v>
      </c>
      <c r="W511" s="612">
        <v>915</v>
      </c>
      <c r="X511" s="612">
        <v>922</v>
      </c>
      <c r="Y511" s="612">
        <v>869</v>
      </c>
      <c r="Z511" s="612">
        <v>864</v>
      </c>
      <c r="AA511" s="612">
        <v>873</v>
      </c>
      <c r="AB511" s="612">
        <v>854</v>
      </c>
      <c r="AC511" s="612">
        <v>858</v>
      </c>
      <c r="AD511" s="612">
        <v>823</v>
      </c>
      <c r="AE511" s="612">
        <v>958</v>
      </c>
      <c r="AF511" s="612">
        <v>1502</v>
      </c>
      <c r="AG511" s="612">
        <v>878</v>
      </c>
      <c r="AH511" s="612">
        <v>667</v>
      </c>
      <c r="AI511" s="612">
        <v>607</v>
      </c>
      <c r="AJ511" s="612">
        <v>701</v>
      </c>
      <c r="AK511" s="612">
        <v>688</v>
      </c>
      <c r="AL511" s="612">
        <v>776</v>
      </c>
      <c r="AM511" s="612">
        <v>789</v>
      </c>
      <c r="AN511" s="612">
        <v>806</v>
      </c>
      <c r="AO511" s="612">
        <v>797</v>
      </c>
      <c r="AP511" s="612">
        <v>829</v>
      </c>
      <c r="AQ511" s="612">
        <v>904</v>
      </c>
      <c r="AR511" s="612">
        <v>851</v>
      </c>
      <c r="AS511" s="612">
        <v>855</v>
      </c>
      <c r="AT511" s="612">
        <v>855</v>
      </c>
      <c r="AU511" s="612">
        <v>825</v>
      </c>
      <c r="AV511" s="612">
        <v>845</v>
      </c>
      <c r="AW511" s="612">
        <v>903</v>
      </c>
      <c r="AX511" s="612">
        <v>859</v>
      </c>
      <c r="AY511" s="612">
        <v>868</v>
      </c>
      <c r="AZ511" s="612">
        <v>830</v>
      </c>
      <c r="BA511" s="612">
        <v>830</v>
      </c>
      <c r="BB511" s="612">
        <v>850</v>
      </c>
      <c r="BC511" s="612">
        <v>826</v>
      </c>
      <c r="BD511" s="612">
        <v>853</v>
      </c>
      <c r="BE511" s="612">
        <v>809</v>
      </c>
      <c r="BF511" s="612">
        <v>756</v>
      </c>
      <c r="BG511" s="612">
        <v>746</v>
      </c>
      <c r="BH511" s="612">
        <v>825</v>
      </c>
      <c r="BI511" s="612">
        <v>777</v>
      </c>
      <c r="BJ511" s="612">
        <v>849</v>
      </c>
      <c r="BK511" s="612">
        <v>862</v>
      </c>
      <c r="BL511" s="612">
        <v>954</v>
      </c>
      <c r="BM511" s="612">
        <v>904</v>
      </c>
      <c r="BN511" s="612">
        <v>948</v>
      </c>
      <c r="BO511" s="612">
        <v>1003</v>
      </c>
      <c r="BP511" s="612">
        <v>945</v>
      </c>
      <c r="BQ511" s="612">
        <v>984</v>
      </c>
      <c r="BR511" s="612">
        <v>991</v>
      </c>
      <c r="BS511" s="612">
        <v>1043</v>
      </c>
      <c r="BT511" s="612">
        <v>992</v>
      </c>
      <c r="BU511" s="612">
        <v>975</v>
      </c>
      <c r="BV511" s="612">
        <v>943</v>
      </c>
      <c r="BW511" s="612">
        <v>960</v>
      </c>
      <c r="BX511" s="612">
        <v>888</v>
      </c>
      <c r="BY511" s="612">
        <v>1006</v>
      </c>
      <c r="BZ511" s="612">
        <v>870</v>
      </c>
      <c r="CA511" s="612">
        <v>796</v>
      </c>
      <c r="CB511" s="612">
        <v>802</v>
      </c>
      <c r="CC511" s="612">
        <v>793</v>
      </c>
      <c r="CD511" s="612">
        <v>815</v>
      </c>
      <c r="CE511" s="612">
        <v>772</v>
      </c>
      <c r="CF511" s="612">
        <v>725</v>
      </c>
      <c r="CG511" s="612">
        <v>778</v>
      </c>
      <c r="CH511" s="612">
        <v>746</v>
      </c>
      <c r="CI511" s="612">
        <v>847</v>
      </c>
      <c r="CJ511" s="612">
        <v>799</v>
      </c>
      <c r="CK511" s="612">
        <v>579</v>
      </c>
      <c r="CL511" s="612">
        <v>577</v>
      </c>
      <c r="CM511" s="612">
        <v>556</v>
      </c>
      <c r="CN511" s="612">
        <v>505</v>
      </c>
      <c r="CO511" s="612">
        <v>452</v>
      </c>
      <c r="CP511" s="612">
        <v>360</v>
      </c>
      <c r="CQ511" s="612">
        <v>384</v>
      </c>
      <c r="CR511" s="612">
        <v>318</v>
      </c>
      <c r="CS511" s="612">
        <v>294</v>
      </c>
      <c r="CT511" s="612">
        <v>260</v>
      </c>
      <c r="CU511" s="612">
        <v>226</v>
      </c>
      <c r="CV511" s="612">
        <v>183</v>
      </c>
      <c r="CW511" s="612">
        <v>177</v>
      </c>
      <c r="CX511" s="612">
        <v>127</v>
      </c>
      <c r="CY511" s="612">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2">
      <c r="A512" s="31" t="s">
        <v>222</v>
      </c>
      <c r="B512" s="1" t="s">
        <v>685</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612">
        <v>1002</v>
      </c>
      <c r="N512" s="612">
        <v>958</v>
      </c>
      <c r="O512" s="612">
        <v>993</v>
      </c>
      <c r="P512" s="612">
        <v>1033</v>
      </c>
      <c r="Q512" s="612">
        <v>1002</v>
      </c>
      <c r="R512" s="612">
        <v>1014</v>
      </c>
      <c r="S512" s="612">
        <v>1196</v>
      </c>
      <c r="T512" s="612">
        <v>1083</v>
      </c>
      <c r="U512" s="612">
        <v>1043</v>
      </c>
      <c r="V512" s="612">
        <v>1089</v>
      </c>
      <c r="W512" s="612">
        <v>1039</v>
      </c>
      <c r="X512" s="612">
        <v>1059</v>
      </c>
      <c r="Y512" s="612">
        <v>1048</v>
      </c>
      <c r="Z512" s="612">
        <v>1123</v>
      </c>
      <c r="AA512" s="612">
        <v>1128</v>
      </c>
      <c r="AB512" s="612">
        <v>945</v>
      </c>
      <c r="AC512" s="612">
        <v>940</v>
      </c>
      <c r="AD512" s="612">
        <v>952</v>
      </c>
      <c r="AE512" s="612">
        <v>969</v>
      </c>
      <c r="AF512" s="612">
        <v>782</v>
      </c>
      <c r="AG512" s="612">
        <v>699</v>
      </c>
      <c r="AH512" s="612">
        <v>774</v>
      </c>
      <c r="AI512" s="612">
        <v>881</v>
      </c>
      <c r="AJ512" s="612">
        <v>985</v>
      </c>
      <c r="AK512" s="612">
        <v>959</v>
      </c>
      <c r="AL512" s="612">
        <v>1027</v>
      </c>
      <c r="AM512" s="612">
        <v>1005</v>
      </c>
      <c r="AN512" s="612">
        <v>1020</v>
      </c>
      <c r="AO512" s="612">
        <v>1076</v>
      </c>
      <c r="AP512" s="612">
        <v>1245</v>
      </c>
      <c r="AQ512" s="612">
        <v>1220</v>
      </c>
      <c r="AR512" s="612">
        <v>1265</v>
      </c>
      <c r="AS512" s="612">
        <v>1169</v>
      </c>
      <c r="AT512" s="612">
        <v>1279</v>
      </c>
      <c r="AU512" s="612">
        <v>1332</v>
      </c>
      <c r="AV512" s="612">
        <v>1215</v>
      </c>
      <c r="AW512" s="612">
        <v>1185</v>
      </c>
      <c r="AX512" s="612">
        <v>1259</v>
      </c>
      <c r="AY512" s="612">
        <v>1143</v>
      </c>
      <c r="AZ512" s="612">
        <v>1017</v>
      </c>
      <c r="BA512" s="612">
        <v>1038</v>
      </c>
      <c r="BB512" s="612">
        <v>1044</v>
      </c>
      <c r="BC512" s="612">
        <v>1120</v>
      </c>
      <c r="BD512" s="612">
        <v>1055</v>
      </c>
      <c r="BE512" s="612">
        <v>942</v>
      </c>
      <c r="BF512" s="612">
        <v>907</v>
      </c>
      <c r="BG512" s="612">
        <v>917</v>
      </c>
      <c r="BH512" s="612">
        <v>953</v>
      </c>
      <c r="BI512" s="612">
        <v>944</v>
      </c>
      <c r="BJ512" s="612">
        <v>996</v>
      </c>
      <c r="BK512" s="612">
        <v>980</v>
      </c>
      <c r="BL512" s="612">
        <v>1095</v>
      </c>
      <c r="BM512" s="612">
        <v>1067</v>
      </c>
      <c r="BN512" s="612">
        <v>1100</v>
      </c>
      <c r="BO512" s="612">
        <v>948</v>
      </c>
      <c r="BP512" s="612">
        <v>1070</v>
      </c>
      <c r="BQ512" s="612">
        <v>1067</v>
      </c>
      <c r="BR512" s="612">
        <v>1053</v>
      </c>
      <c r="BS512" s="612">
        <v>1041</v>
      </c>
      <c r="BT512" s="612">
        <v>1021</v>
      </c>
      <c r="BU512" s="612">
        <v>935</v>
      </c>
      <c r="BV512" s="612">
        <v>982</v>
      </c>
      <c r="BW512" s="612">
        <v>893</v>
      </c>
      <c r="BX512" s="612">
        <v>964</v>
      </c>
      <c r="BY512" s="612">
        <v>829</v>
      </c>
      <c r="BZ512" s="612">
        <v>800</v>
      </c>
      <c r="CA512" s="612">
        <v>680</v>
      </c>
      <c r="CB512" s="612">
        <v>675</v>
      </c>
      <c r="CC512" s="612">
        <v>724</v>
      </c>
      <c r="CD512" s="612">
        <v>751</v>
      </c>
      <c r="CE512" s="612">
        <v>678</v>
      </c>
      <c r="CF512" s="612">
        <v>607</v>
      </c>
      <c r="CG512" s="612">
        <v>654</v>
      </c>
      <c r="CH512" s="612">
        <v>620</v>
      </c>
      <c r="CI512" s="612">
        <v>701</v>
      </c>
      <c r="CJ512" s="612">
        <v>753</v>
      </c>
      <c r="CK512" s="612">
        <v>517</v>
      </c>
      <c r="CL512" s="612">
        <v>519</v>
      </c>
      <c r="CM512" s="612">
        <v>492</v>
      </c>
      <c r="CN512" s="612">
        <v>470</v>
      </c>
      <c r="CO512" s="612">
        <v>374</v>
      </c>
      <c r="CP512" s="612">
        <v>319</v>
      </c>
      <c r="CQ512" s="612">
        <v>324</v>
      </c>
      <c r="CR512" s="612">
        <v>314</v>
      </c>
      <c r="CS512" s="612">
        <v>256</v>
      </c>
      <c r="CT512" s="612">
        <v>240</v>
      </c>
      <c r="CU512" s="612">
        <v>230</v>
      </c>
      <c r="CV512" s="612">
        <v>172</v>
      </c>
      <c r="CW512" s="612">
        <v>142</v>
      </c>
      <c r="CX512" s="612">
        <v>117</v>
      </c>
      <c r="CY512" s="612">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2">
      <c r="A513" s="31" t="s">
        <v>222</v>
      </c>
      <c r="B513" s="1" t="s">
        <v>686</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612">
        <v>547</v>
      </c>
      <c r="N513" s="612">
        <v>541</v>
      </c>
      <c r="O513" s="612">
        <v>560</v>
      </c>
      <c r="P513" s="612">
        <v>587</v>
      </c>
      <c r="Q513" s="612">
        <v>646</v>
      </c>
      <c r="R513" s="612">
        <v>630</v>
      </c>
      <c r="S513" s="612">
        <v>657</v>
      </c>
      <c r="T513" s="612">
        <v>695</v>
      </c>
      <c r="U513" s="612">
        <v>700</v>
      </c>
      <c r="V513" s="612">
        <v>693</v>
      </c>
      <c r="W513" s="612">
        <v>704</v>
      </c>
      <c r="X513" s="612">
        <v>745</v>
      </c>
      <c r="Y513" s="612">
        <v>723</v>
      </c>
      <c r="Z513" s="612">
        <v>691</v>
      </c>
      <c r="AA513" s="612">
        <v>785</v>
      </c>
      <c r="AB513" s="612">
        <v>690</v>
      </c>
      <c r="AC513" s="612">
        <v>779</v>
      </c>
      <c r="AD513" s="612">
        <v>726</v>
      </c>
      <c r="AE513" s="612">
        <v>659</v>
      </c>
      <c r="AF513" s="612">
        <v>545</v>
      </c>
      <c r="AG513" s="612">
        <v>505</v>
      </c>
      <c r="AH513" s="612">
        <v>573</v>
      </c>
      <c r="AI513" s="612">
        <v>608</v>
      </c>
      <c r="AJ513" s="612">
        <v>603</v>
      </c>
      <c r="AK513" s="612">
        <v>650</v>
      </c>
      <c r="AL513" s="612">
        <v>681</v>
      </c>
      <c r="AM513" s="612">
        <v>604</v>
      </c>
      <c r="AN513" s="612">
        <v>539</v>
      </c>
      <c r="AO513" s="612">
        <v>615</v>
      </c>
      <c r="AP513" s="612">
        <v>649</v>
      </c>
      <c r="AQ513" s="612">
        <v>715</v>
      </c>
      <c r="AR513" s="612">
        <v>687</v>
      </c>
      <c r="AS513" s="612">
        <v>631</v>
      </c>
      <c r="AT513" s="612">
        <v>601</v>
      </c>
      <c r="AU513" s="612">
        <v>686</v>
      </c>
      <c r="AV513" s="612">
        <v>659</v>
      </c>
      <c r="AW513" s="612">
        <v>623</v>
      </c>
      <c r="AX513" s="612">
        <v>623</v>
      </c>
      <c r="AY513" s="612">
        <v>614</v>
      </c>
      <c r="AZ513" s="612">
        <v>608</v>
      </c>
      <c r="BA513" s="612">
        <v>609</v>
      </c>
      <c r="BB513" s="612">
        <v>629</v>
      </c>
      <c r="BC513" s="612">
        <v>647</v>
      </c>
      <c r="BD513" s="612">
        <v>626</v>
      </c>
      <c r="BE513" s="612">
        <v>583</v>
      </c>
      <c r="BF513" s="612">
        <v>542</v>
      </c>
      <c r="BG513" s="612">
        <v>580</v>
      </c>
      <c r="BH513" s="612">
        <v>603</v>
      </c>
      <c r="BI513" s="612">
        <v>639</v>
      </c>
      <c r="BJ513" s="612">
        <v>703</v>
      </c>
      <c r="BK513" s="612">
        <v>754</v>
      </c>
      <c r="BL513" s="612">
        <v>757</v>
      </c>
      <c r="BM513" s="612">
        <v>818</v>
      </c>
      <c r="BN513" s="612">
        <v>808</v>
      </c>
      <c r="BO513" s="612">
        <v>855</v>
      </c>
      <c r="BP513" s="612">
        <v>905</v>
      </c>
      <c r="BQ513" s="612">
        <v>926</v>
      </c>
      <c r="BR513" s="612">
        <v>915</v>
      </c>
      <c r="BS513" s="612">
        <v>887</v>
      </c>
      <c r="BT513" s="612">
        <v>1009</v>
      </c>
      <c r="BU513" s="612">
        <v>967</v>
      </c>
      <c r="BV513" s="612">
        <v>914</v>
      </c>
      <c r="BW513" s="612">
        <v>904</v>
      </c>
      <c r="BX513" s="612">
        <v>952</v>
      </c>
      <c r="BY513" s="612">
        <v>893</v>
      </c>
      <c r="BZ513" s="612">
        <v>866</v>
      </c>
      <c r="CA513" s="612">
        <v>855</v>
      </c>
      <c r="CB513" s="612">
        <v>857</v>
      </c>
      <c r="CC513" s="612">
        <v>882</v>
      </c>
      <c r="CD513" s="612">
        <v>875</v>
      </c>
      <c r="CE513" s="612">
        <v>807</v>
      </c>
      <c r="CF513" s="612">
        <v>838</v>
      </c>
      <c r="CG513" s="612">
        <v>832</v>
      </c>
      <c r="CH513" s="612">
        <v>800</v>
      </c>
      <c r="CI513" s="612">
        <v>838</v>
      </c>
      <c r="CJ513" s="612">
        <v>882</v>
      </c>
      <c r="CK513" s="612">
        <v>614</v>
      </c>
      <c r="CL513" s="612">
        <v>659</v>
      </c>
      <c r="CM513" s="612">
        <v>627</v>
      </c>
      <c r="CN513" s="612">
        <v>545</v>
      </c>
      <c r="CO513" s="612">
        <v>490</v>
      </c>
      <c r="CP513" s="612">
        <v>469</v>
      </c>
      <c r="CQ513" s="612">
        <v>418</v>
      </c>
      <c r="CR513" s="612">
        <v>376</v>
      </c>
      <c r="CS513" s="612">
        <v>328</v>
      </c>
      <c r="CT513" s="612">
        <v>268</v>
      </c>
      <c r="CU513" s="612">
        <v>254</v>
      </c>
      <c r="CV513" s="612">
        <v>224</v>
      </c>
      <c r="CW513" s="612">
        <v>142</v>
      </c>
      <c r="CX513" s="612">
        <v>181</v>
      </c>
      <c r="CY513" s="612">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2">
      <c r="A514" s="31" t="s">
        <v>222</v>
      </c>
      <c r="B514" s="1" t="s">
        <v>687</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612">
        <v>542</v>
      </c>
      <c r="N514" s="612">
        <v>558</v>
      </c>
      <c r="O514" s="612">
        <v>557</v>
      </c>
      <c r="P514" s="612">
        <v>623</v>
      </c>
      <c r="Q514" s="612">
        <v>680</v>
      </c>
      <c r="R514" s="612">
        <v>640</v>
      </c>
      <c r="S514" s="612">
        <v>636</v>
      </c>
      <c r="T514" s="612">
        <v>702</v>
      </c>
      <c r="U514" s="612">
        <v>710</v>
      </c>
      <c r="V514" s="612">
        <v>708</v>
      </c>
      <c r="W514" s="612">
        <v>684</v>
      </c>
      <c r="X514" s="612">
        <v>699</v>
      </c>
      <c r="Y514" s="612">
        <v>687</v>
      </c>
      <c r="Z514" s="612">
        <v>724</v>
      </c>
      <c r="AA514" s="612">
        <v>813</v>
      </c>
      <c r="AB514" s="612">
        <v>726</v>
      </c>
      <c r="AC514" s="612">
        <v>720</v>
      </c>
      <c r="AD514" s="612">
        <v>759</v>
      </c>
      <c r="AE514" s="612">
        <v>677</v>
      </c>
      <c r="AF514" s="612">
        <v>546</v>
      </c>
      <c r="AG514" s="612">
        <v>497</v>
      </c>
      <c r="AH514" s="612">
        <v>540</v>
      </c>
      <c r="AI514" s="612">
        <v>576</v>
      </c>
      <c r="AJ514" s="612">
        <v>708</v>
      </c>
      <c r="AK514" s="612">
        <v>659</v>
      </c>
      <c r="AL514" s="612">
        <v>640</v>
      </c>
      <c r="AM514" s="612">
        <v>700</v>
      </c>
      <c r="AN514" s="612">
        <v>643</v>
      </c>
      <c r="AO514" s="612">
        <v>676</v>
      </c>
      <c r="AP514" s="612">
        <v>655</v>
      </c>
      <c r="AQ514" s="612">
        <v>689</v>
      </c>
      <c r="AR514" s="612">
        <v>681</v>
      </c>
      <c r="AS514" s="612">
        <v>678</v>
      </c>
      <c r="AT514" s="612">
        <v>691</v>
      </c>
      <c r="AU514" s="612">
        <v>706</v>
      </c>
      <c r="AV514" s="612">
        <v>621</v>
      </c>
      <c r="AW514" s="612">
        <v>641</v>
      </c>
      <c r="AX514" s="612">
        <v>683</v>
      </c>
      <c r="AY514" s="612">
        <v>629</v>
      </c>
      <c r="AZ514" s="612">
        <v>628</v>
      </c>
      <c r="BA514" s="612">
        <v>668</v>
      </c>
      <c r="BB514" s="612">
        <v>643</v>
      </c>
      <c r="BC514" s="612">
        <v>674</v>
      </c>
      <c r="BD514" s="612">
        <v>652</v>
      </c>
      <c r="BE514" s="612">
        <v>622</v>
      </c>
      <c r="BF514" s="612">
        <v>638</v>
      </c>
      <c r="BG514" s="612">
        <v>646</v>
      </c>
      <c r="BH514" s="612">
        <v>721</v>
      </c>
      <c r="BI514" s="612">
        <v>733</v>
      </c>
      <c r="BJ514" s="612">
        <v>732</v>
      </c>
      <c r="BK514" s="612">
        <v>904</v>
      </c>
      <c r="BL514" s="612">
        <v>916</v>
      </c>
      <c r="BM514" s="612">
        <v>874</v>
      </c>
      <c r="BN514" s="612">
        <v>967</v>
      </c>
      <c r="BO514" s="612">
        <v>918</v>
      </c>
      <c r="BP514" s="612">
        <v>1049</v>
      </c>
      <c r="BQ514" s="612">
        <v>1027</v>
      </c>
      <c r="BR514" s="612">
        <v>1085</v>
      </c>
      <c r="BS514" s="612">
        <v>1055</v>
      </c>
      <c r="BT514" s="612">
        <v>1079</v>
      </c>
      <c r="BU514" s="612">
        <v>1083</v>
      </c>
      <c r="BV514" s="612">
        <v>1072</v>
      </c>
      <c r="BW514" s="612">
        <v>1062</v>
      </c>
      <c r="BX514" s="612">
        <v>1068</v>
      </c>
      <c r="BY514" s="612">
        <v>970</v>
      </c>
      <c r="BZ514" s="612">
        <v>1004</v>
      </c>
      <c r="CA514" s="612">
        <v>1048</v>
      </c>
      <c r="CB514" s="612">
        <v>920</v>
      </c>
      <c r="CC514" s="612">
        <v>981</v>
      </c>
      <c r="CD514" s="612">
        <v>986</v>
      </c>
      <c r="CE514" s="612">
        <v>946</v>
      </c>
      <c r="CF514" s="612">
        <v>909</v>
      </c>
      <c r="CG514" s="612">
        <v>957</v>
      </c>
      <c r="CH514" s="612">
        <v>966</v>
      </c>
      <c r="CI514" s="612">
        <v>1053</v>
      </c>
      <c r="CJ514" s="612">
        <v>1016</v>
      </c>
      <c r="CK514" s="612">
        <v>762</v>
      </c>
      <c r="CL514" s="612">
        <v>697</v>
      </c>
      <c r="CM514" s="612">
        <v>815</v>
      </c>
      <c r="CN514" s="612">
        <v>676</v>
      </c>
      <c r="CO514" s="612">
        <v>565</v>
      </c>
      <c r="CP514" s="612">
        <v>480</v>
      </c>
      <c r="CQ514" s="612">
        <v>484</v>
      </c>
      <c r="CR514" s="612">
        <v>421</v>
      </c>
      <c r="CS514" s="612">
        <v>402</v>
      </c>
      <c r="CT514" s="612">
        <v>348</v>
      </c>
      <c r="CU514" s="612">
        <v>295</v>
      </c>
      <c r="CV514" s="612">
        <v>283</v>
      </c>
      <c r="CW514" s="612">
        <v>234</v>
      </c>
      <c r="CX514" s="612">
        <v>151</v>
      </c>
      <c r="CY514" s="612">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2">
      <c r="A515" s="31" t="s">
        <v>222</v>
      </c>
      <c r="B515" s="1" t="s">
        <v>688</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612">
        <v>1182</v>
      </c>
      <c r="N515" s="612">
        <v>1192</v>
      </c>
      <c r="O515" s="612">
        <v>1246</v>
      </c>
      <c r="P515" s="612">
        <v>1330</v>
      </c>
      <c r="Q515" s="612">
        <v>1390</v>
      </c>
      <c r="R515" s="612">
        <v>1335</v>
      </c>
      <c r="S515" s="612">
        <v>1349</v>
      </c>
      <c r="T515" s="612">
        <v>1424</v>
      </c>
      <c r="U515" s="612">
        <v>1454</v>
      </c>
      <c r="V515" s="612">
        <v>1448</v>
      </c>
      <c r="W515" s="612">
        <v>1470</v>
      </c>
      <c r="X515" s="612">
        <v>1500</v>
      </c>
      <c r="Y515" s="612">
        <v>1414</v>
      </c>
      <c r="Z515" s="612">
        <v>1599</v>
      </c>
      <c r="AA515" s="612">
        <v>1471</v>
      </c>
      <c r="AB515" s="612">
        <v>1487</v>
      </c>
      <c r="AC515" s="612">
        <v>1400</v>
      </c>
      <c r="AD515" s="612">
        <v>1425</v>
      </c>
      <c r="AE515" s="612">
        <v>1383</v>
      </c>
      <c r="AF515" s="612">
        <v>1430</v>
      </c>
      <c r="AG515" s="612">
        <v>1361</v>
      </c>
      <c r="AH515" s="612">
        <v>1470</v>
      </c>
      <c r="AI515" s="612">
        <v>1333</v>
      </c>
      <c r="AJ515" s="612">
        <v>1508</v>
      </c>
      <c r="AK515" s="612">
        <v>1349</v>
      </c>
      <c r="AL515" s="612">
        <v>1510</v>
      </c>
      <c r="AM515" s="612">
        <v>1397</v>
      </c>
      <c r="AN515" s="612">
        <v>1501</v>
      </c>
      <c r="AO515" s="612">
        <v>1440</v>
      </c>
      <c r="AP515" s="612">
        <v>1561</v>
      </c>
      <c r="AQ515" s="612">
        <v>1531</v>
      </c>
      <c r="AR515" s="612">
        <v>1507</v>
      </c>
      <c r="AS515" s="612">
        <v>1666</v>
      </c>
      <c r="AT515" s="612">
        <v>1646</v>
      </c>
      <c r="AU515" s="612">
        <v>1508</v>
      </c>
      <c r="AV515" s="612">
        <v>1576</v>
      </c>
      <c r="AW515" s="612">
        <v>1511</v>
      </c>
      <c r="AX515" s="612">
        <v>1573</v>
      </c>
      <c r="AY515" s="612">
        <v>1526</v>
      </c>
      <c r="AZ515" s="612">
        <v>1487</v>
      </c>
      <c r="BA515" s="612">
        <v>1448</v>
      </c>
      <c r="BB515" s="612">
        <v>1387</v>
      </c>
      <c r="BC515" s="612">
        <v>1473</v>
      </c>
      <c r="BD515" s="612">
        <v>1436</v>
      </c>
      <c r="BE515" s="612">
        <v>1292</v>
      </c>
      <c r="BF515" s="612">
        <v>1234</v>
      </c>
      <c r="BG515" s="612">
        <v>1228</v>
      </c>
      <c r="BH515" s="612">
        <v>1344</v>
      </c>
      <c r="BI515" s="612">
        <v>1265</v>
      </c>
      <c r="BJ515" s="612">
        <v>1525</v>
      </c>
      <c r="BK515" s="612">
        <v>1616</v>
      </c>
      <c r="BL515" s="612">
        <v>1695</v>
      </c>
      <c r="BM515" s="612">
        <v>1558</v>
      </c>
      <c r="BN515" s="612">
        <v>1611</v>
      </c>
      <c r="BO515" s="612">
        <v>1667</v>
      </c>
      <c r="BP515" s="612">
        <v>1659</v>
      </c>
      <c r="BQ515" s="612">
        <v>1692</v>
      </c>
      <c r="BR515" s="612">
        <v>1734</v>
      </c>
      <c r="BS515" s="612">
        <v>1649</v>
      </c>
      <c r="BT515" s="612">
        <v>1594</v>
      </c>
      <c r="BU515" s="612">
        <v>1607</v>
      </c>
      <c r="BV515" s="612">
        <v>1496</v>
      </c>
      <c r="BW515" s="612">
        <v>1364</v>
      </c>
      <c r="BX515" s="612">
        <v>1434</v>
      </c>
      <c r="BY515" s="612">
        <v>1372</v>
      </c>
      <c r="BZ515" s="612">
        <v>1354</v>
      </c>
      <c r="CA515" s="612">
        <v>1261</v>
      </c>
      <c r="CB515" s="612">
        <v>1184</v>
      </c>
      <c r="CC515" s="612">
        <v>1223</v>
      </c>
      <c r="CD515" s="612">
        <v>1163</v>
      </c>
      <c r="CE515" s="612">
        <v>1238</v>
      </c>
      <c r="CF515" s="612">
        <v>1171</v>
      </c>
      <c r="CG515" s="612">
        <v>1232</v>
      </c>
      <c r="CH515" s="612">
        <v>1244</v>
      </c>
      <c r="CI515" s="612">
        <v>1280</v>
      </c>
      <c r="CJ515" s="612">
        <v>1272</v>
      </c>
      <c r="CK515" s="612">
        <v>1071</v>
      </c>
      <c r="CL515" s="612">
        <v>988</v>
      </c>
      <c r="CM515" s="612">
        <v>843</v>
      </c>
      <c r="CN515" s="612">
        <v>708</v>
      </c>
      <c r="CO515" s="612">
        <v>680</v>
      </c>
      <c r="CP515" s="612">
        <v>591</v>
      </c>
      <c r="CQ515" s="612">
        <v>536</v>
      </c>
      <c r="CR515" s="612">
        <v>480</v>
      </c>
      <c r="CS515" s="612">
        <v>454</v>
      </c>
      <c r="CT515" s="612">
        <v>366</v>
      </c>
      <c r="CU515" s="612">
        <v>342</v>
      </c>
      <c r="CV515" s="612">
        <v>288</v>
      </c>
      <c r="CW515" s="612">
        <v>231</v>
      </c>
      <c r="CX515" s="612">
        <v>183</v>
      </c>
      <c r="CY515" s="612">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2">
      <c r="A516" s="31" t="s">
        <v>222</v>
      </c>
      <c r="B516" s="1" t="s">
        <v>689</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612">
        <v>1134</v>
      </c>
      <c r="N516" s="612">
        <v>1063</v>
      </c>
      <c r="O516" s="612">
        <v>1133</v>
      </c>
      <c r="P516" s="612">
        <v>1224</v>
      </c>
      <c r="Q516" s="612">
        <v>1266</v>
      </c>
      <c r="R516" s="612">
        <v>1252</v>
      </c>
      <c r="S516" s="612">
        <v>1374</v>
      </c>
      <c r="T516" s="612">
        <v>1363</v>
      </c>
      <c r="U516" s="612">
        <v>1342</v>
      </c>
      <c r="V516" s="612">
        <v>1419</v>
      </c>
      <c r="W516" s="612">
        <v>1459</v>
      </c>
      <c r="X516" s="612">
        <v>1510</v>
      </c>
      <c r="Y516" s="612">
        <v>1407</v>
      </c>
      <c r="Z516" s="612">
        <v>1464</v>
      </c>
      <c r="AA516" s="612">
        <v>1527</v>
      </c>
      <c r="AB516" s="612">
        <v>1392</v>
      </c>
      <c r="AC516" s="612">
        <v>1385</v>
      </c>
      <c r="AD516" s="612">
        <v>1426</v>
      </c>
      <c r="AE516" s="612">
        <v>1459</v>
      </c>
      <c r="AF516" s="612">
        <v>1896</v>
      </c>
      <c r="AG516" s="612">
        <v>2522</v>
      </c>
      <c r="AH516" s="612">
        <v>2615</v>
      </c>
      <c r="AI516" s="612">
        <v>2280</v>
      </c>
      <c r="AJ516" s="612">
        <v>1910</v>
      </c>
      <c r="AK516" s="612">
        <v>1501</v>
      </c>
      <c r="AL516" s="612">
        <v>1507</v>
      </c>
      <c r="AM516" s="612">
        <v>1486</v>
      </c>
      <c r="AN516" s="612">
        <v>1351</v>
      </c>
      <c r="AO516" s="612">
        <v>1422</v>
      </c>
      <c r="AP516" s="612">
        <v>1448</v>
      </c>
      <c r="AQ516" s="612">
        <v>1520</v>
      </c>
      <c r="AR516" s="612">
        <v>1551</v>
      </c>
      <c r="AS516" s="612">
        <v>1644</v>
      </c>
      <c r="AT516" s="612">
        <v>1442</v>
      </c>
      <c r="AU516" s="612">
        <v>1501</v>
      </c>
      <c r="AV516" s="612">
        <v>1514</v>
      </c>
      <c r="AW516" s="612">
        <v>1498</v>
      </c>
      <c r="AX516" s="612">
        <v>1597</v>
      </c>
      <c r="AY516" s="612">
        <v>1396</v>
      </c>
      <c r="AZ516" s="612">
        <v>1455</v>
      </c>
      <c r="BA516" s="612">
        <v>1397</v>
      </c>
      <c r="BB516" s="612">
        <v>1417</v>
      </c>
      <c r="BC516" s="612">
        <v>1584</v>
      </c>
      <c r="BD516" s="612">
        <v>1343</v>
      </c>
      <c r="BE516" s="612">
        <v>1273</v>
      </c>
      <c r="BF516" s="612">
        <v>1289</v>
      </c>
      <c r="BG516" s="612">
        <v>1339</v>
      </c>
      <c r="BH516" s="612">
        <v>1379</v>
      </c>
      <c r="BI516" s="612">
        <v>1335</v>
      </c>
      <c r="BJ516" s="612">
        <v>1336</v>
      </c>
      <c r="BK516" s="612">
        <v>1462</v>
      </c>
      <c r="BL516" s="612">
        <v>1510</v>
      </c>
      <c r="BM516" s="612">
        <v>1509</v>
      </c>
      <c r="BN516" s="612">
        <v>1691</v>
      </c>
      <c r="BO516" s="612">
        <v>1552</v>
      </c>
      <c r="BP516" s="612">
        <v>1528</v>
      </c>
      <c r="BQ516" s="612">
        <v>1522</v>
      </c>
      <c r="BR516" s="612">
        <v>1665</v>
      </c>
      <c r="BS516" s="612">
        <v>1640</v>
      </c>
      <c r="BT516" s="612">
        <v>1484</v>
      </c>
      <c r="BU516" s="612">
        <v>1519</v>
      </c>
      <c r="BV516" s="612">
        <v>1456</v>
      </c>
      <c r="BW516" s="612">
        <v>1447</v>
      </c>
      <c r="BX516" s="612">
        <v>1394</v>
      </c>
      <c r="BY516" s="612">
        <v>1349</v>
      </c>
      <c r="BZ516" s="612">
        <v>1273</v>
      </c>
      <c r="CA516" s="612">
        <v>1240</v>
      </c>
      <c r="CB516" s="612">
        <v>1189</v>
      </c>
      <c r="CC516" s="612">
        <v>1181</v>
      </c>
      <c r="CD516" s="612">
        <v>1218</v>
      </c>
      <c r="CE516" s="612">
        <v>1171</v>
      </c>
      <c r="CF516" s="612">
        <v>1093</v>
      </c>
      <c r="CG516" s="612">
        <v>1212</v>
      </c>
      <c r="CH516" s="612">
        <v>1187</v>
      </c>
      <c r="CI516" s="612">
        <v>1233</v>
      </c>
      <c r="CJ516" s="612">
        <v>1340</v>
      </c>
      <c r="CK516" s="612">
        <v>889</v>
      </c>
      <c r="CL516" s="612">
        <v>905</v>
      </c>
      <c r="CM516" s="612">
        <v>899</v>
      </c>
      <c r="CN516" s="612">
        <v>852</v>
      </c>
      <c r="CO516" s="612">
        <v>748</v>
      </c>
      <c r="CP516" s="612">
        <v>612</v>
      </c>
      <c r="CQ516" s="612">
        <v>591</v>
      </c>
      <c r="CR516" s="612">
        <v>524</v>
      </c>
      <c r="CS516" s="612">
        <v>525</v>
      </c>
      <c r="CT516" s="612">
        <v>455</v>
      </c>
      <c r="CU516" s="612">
        <v>393</v>
      </c>
      <c r="CV516" s="612">
        <v>348</v>
      </c>
      <c r="CW516" s="612">
        <v>276</v>
      </c>
      <c r="CX516" s="612">
        <v>244</v>
      </c>
      <c r="CY516" s="612">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2">
      <c r="A517" s="31" t="s">
        <v>222</v>
      </c>
      <c r="B517" s="1" t="s">
        <v>690</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612">
        <v>514</v>
      </c>
      <c r="N517" s="612">
        <v>466</v>
      </c>
      <c r="O517" s="612">
        <v>537</v>
      </c>
      <c r="P517" s="612">
        <v>540</v>
      </c>
      <c r="Q517" s="612">
        <v>516</v>
      </c>
      <c r="R517" s="612">
        <v>556</v>
      </c>
      <c r="S517" s="612">
        <v>581</v>
      </c>
      <c r="T517" s="612">
        <v>514</v>
      </c>
      <c r="U517" s="612">
        <v>551</v>
      </c>
      <c r="V517" s="612">
        <v>551</v>
      </c>
      <c r="W517" s="612">
        <v>588</v>
      </c>
      <c r="X517" s="612">
        <v>600</v>
      </c>
      <c r="Y517" s="612">
        <v>586</v>
      </c>
      <c r="Z517" s="612">
        <v>625</v>
      </c>
      <c r="AA517" s="612">
        <v>581</v>
      </c>
      <c r="AB517" s="612">
        <v>557</v>
      </c>
      <c r="AC517" s="612">
        <v>592</v>
      </c>
      <c r="AD517" s="612">
        <v>585</v>
      </c>
      <c r="AE517" s="612">
        <v>488</v>
      </c>
      <c r="AF517" s="612">
        <v>425</v>
      </c>
      <c r="AG517" s="612">
        <v>404</v>
      </c>
      <c r="AH517" s="612">
        <v>418</v>
      </c>
      <c r="AI517" s="612">
        <v>438</v>
      </c>
      <c r="AJ517" s="612">
        <v>462</v>
      </c>
      <c r="AK517" s="612">
        <v>507</v>
      </c>
      <c r="AL517" s="612">
        <v>598</v>
      </c>
      <c r="AM517" s="612">
        <v>533</v>
      </c>
      <c r="AN517" s="612">
        <v>576</v>
      </c>
      <c r="AO517" s="612">
        <v>555</v>
      </c>
      <c r="AP517" s="612">
        <v>540</v>
      </c>
      <c r="AQ517" s="612">
        <v>596</v>
      </c>
      <c r="AR517" s="612">
        <v>615</v>
      </c>
      <c r="AS517" s="612">
        <v>622</v>
      </c>
      <c r="AT517" s="612">
        <v>617</v>
      </c>
      <c r="AU517" s="612">
        <v>553</v>
      </c>
      <c r="AV517" s="612">
        <v>586</v>
      </c>
      <c r="AW517" s="612">
        <v>593</v>
      </c>
      <c r="AX517" s="612">
        <v>574</v>
      </c>
      <c r="AY517" s="612">
        <v>532</v>
      </c>
      <c r="AZ517" s="612">
        <v>548</v>
      </c>
      <c r="BA517" s="612">
        <v>555</v>
      </c>
      <c r="BB517" s="612">
        <v>493</v>
      </c>
      <c r="BC517" s="612">
        <v>523</v>
      </c>
      <c r="BD517" s="612">
        <v>539</v>
      </c>
      <c r="BE517" s="612">
        <v>428</v>
      </c>
      <c r="BF517" s="612">
        <v>504</v>
      </c>
      <c r="BG517" s="612">
        <v>432</v>
      </c>
      <c r="BH517" s="612">
        <v>497</v>
      </c>
      <c r="BI517" s="612">
        <v>493</v>
      </c>
      <c r="BJ517" s="612">
        <v>561</v>
      </c>
      <c r="BK517" s="612">
        <v>569</v>
      </c>
      <c r="BL517" s="612">
        <v>636</v>
      </c>
      <c r="BM517" s="612">
        <v>634</v>
      </c>
      <c r="BN517" s="612">
        <v>601</v>
      </c>
      <c r="BO517" s="612">
        <v>597</v>
      </c>
      <c r="BP517" s="612">
        <v>623</v>
      </c>
      <c r="BQ517" s="612">
        <v>631</v>
      </c>
      <c r="BR517" s="612">
        <v>707</v>
      </c>
      <c r="BS517" s="612">
        <v>646</v>
      </c>
      <c r="BT517" s="612">
        <v>672</v>
      </c>
      <c r="BU517" s="612">
        <v>661</v>
      </c>
      <c r="BV517" s="612">
        <v>655</v>
      </c>
      <c r="BW517" s="612">
        <v>574</v>
      </c>
      <c r="BX517" s="612">
        <v>580</v>
      </c>
      <c r="BY517" s="612">
        <v>594</v>
      </c>
      <c r="BZ517" s="612">
        <v>511</v>
      </c>
      <c r="CA517" s="612">
        <v>490</v>
      </c>
      <c r="CB517" s="612">
        <v>470</v>
      </c>
      <c r="CC517" s="612">
        <v>535</v>
      </c>
      <c r="CD517" s="612">
        <v>469</v>
      </c>
      <c r="CE517" s="612">
        <v>488</v>
      </c>
      <c r="CF517" s="612">
        <v>479</v>
      </c>
      <c r="CG517" s="612">
        <v>457</v>
      </c>
      <c r="CH517" s="612">
        <v>484</v>
      </c>
      <c r="CI517" s="612">
        <v>455</v>
      </c>
      <c r="CJ517" s="612">
        <v>541</v>
      </c>
      <c r="CK517" s="612">
        <v>404</v>
      </c>
      <c r="CL517" s="612">
        <v>398</v>
      </c>
      <c r="CM517" s="612">
        <v>348</v>
      </c>
      <c r="CN517" s="612">
        <v>298</v>
      </c>
      <c r="CO517" s="612">
        <v>266</v>
      </c>
      <c r="CP517" s="612">
        <v>246</v>
      </c>
      <c r="CQ517" s="612">
        <v>224</v>
      </c>
      <c r="CR517" s="612">
        <v>223</v>
      </c>
      <c r="CS517" s="612">
        <v>187</v>
      </c>
      <c r="CT517" s="612">
        <v>157</v>
      </c>
      <c r="CU517" s="612">
        <v>143</v>
      </c>
      <c r="CV517" s="612">
        <v>129</v>
      </c>
      <c r="CW517" s="612">
        <v>118</v>
      </c>
      <c r="CX517" s="612">
        <v>110</v>
      </c>
      <c r="CY517" s="612">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2">
      <c r="A518" s="31" t="s">
        <v>222</v>
      </c>
      <c r="B518" s="1" t="s">
        <v>691</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612">
        <v>642</v>
      </c>
      <c r="N518" s="612">
        <v>670</v>
      </c>
      <c r="O518" s="612">
        <v>666</v>
      </c>
      <c r="P518" s="612">
        <v>745</v>
      </c>
      <c r="Q518" s="612">
        <v>708</v>
      </c>
      <c r="R518" s="612">
        <v>814</v>
      </c>
      <c r="S518" s="612">
        <v>772</v>
      </c>
      <c r="T518" s="612">
        <v>756</v>
      </c>
      <c r="U518" s="612">
        <v>790</v>
      </c>
      <c r="V518" s="612">
        <v>869</v>
      </c>
      <c r="W518" s="612">
        <v>878</v>
      </c>
      <c r="X518" s="612">
        <v>861</v>
      </c>
      <c r="Y518" s="612">
        <v>888</v>
      </c>
      <c r="Z518" s="612">
        <v>889</v>
      </c>
      <c r="AA518" s="612">
        <v>863</v>
      </c>
      <c r="AB518" s="612">
        <v>841</v>
      </c>
      <c r="AC518" s="612">
        <v>775</v>
      </c>
      <c r="AD518" s="612">
        <v>759</v>
      </c>
      <c r="AE518" s="612">
        <v>728</v>
      </c>
      <c r="AF518" s="612">
        <v>587</v>
      </c>
      <c r="AG518" s="612">
        <v>503</v>
      </c>
      <c r="AH518" s="612">
        <v>620</v>
      </c>
      <c r="AI518" s="612">
        <v>676</v>
      </c>
      <c r="AJ518" s="612">
        <v>666</v>
      </c>
      <c r="AK518" s="612">
        <v>621</v>
      </c>
      <c r="AL518" s="612">
        <v>702</v>
      </c>
      <c r="AM518" s="612">
        <v>663</v>
      </c>
      <c r="AN518" s="612">
        <v>711</v>
      </c>
      <c r="AO518" s="612">
        <v>738</v>
      </c>
      <c r="AP518" s="612">
        <v>687</v>
      </c>
      <c r="AQ518" s="612">
        <v>701</v>
      </c>
      <c r="AR518" s="612">
        <v>728</v>
      </c>
      <c r="AS518" s="612">
        <v>706</v>
      </c>
      <c r="AT518" s="612">
        <v>774</v>
      </c>
      <c r="AU518" s="612">
        <v>806</v>
      </c>
      <c r="AV518" s="612">
        <v>800</v>
      </c>
      <c r="AW518" s="612">
        <v>846</v>
      </c>
      <c r="AX518" s="612">
        <v>741</v>
      </c>
      <c r="AY518" s="612">
        <v>762</v>
      </c>
      <c r="AZ518" s="612">
        <v>802</v>
      </c>
      <c r="BA518" s="612">
        <v>818</v>
      </c>
      <c r="BB518" s="612">
        <v>893</v>
      </c>
      <c r="BC518" s="612">
        <v>884</v>
      </c>
      <c r="BD518" s="612">
        <v>832</v>
      </c>
      <c r="BE518" s="612">
        <v>669</v>
      </c>
      <c r="BF518" s="612">
        <v>732</v>
      </c>
      <c r="BG518" s="612">
        <v>722</v>
      </c>
      <c r="BH518" s="612">
        <v>807</v>
      </c>
      <c r="BI518" s="612">
        <v>781</v>
      </c>
      <c r="BJ518" s="612">
        <v>815</v>
      </c>
      <c r="BK518" s="612">
        <v>842</v>
      </c>
      <c r="BL518" s="612">
        <v>880</v>
      </c>
      <c r="BM518" s="612">
        <v>853</v>
      </c>
      <c r="BN518" s="612">
        <v>916</v>
      </c>
      <c r="BO518" s="612">
        <v>871</v>
      </c>
      <c r="BP518" s="612">
        <v>920</v>
      </c>
      <c r="BQ518" s="612">
        <v>867</v>
      </c>
      <c r="BR518" s="612">
        <v>906</v>
      </c>
      <c r="BS518" s="612">
        <v>932</v>
      </c>
      <c r="BT518" s="612">
        <v>907</v>
      </c>
      <c r="BU518" s="612">
        <v>934</v>
      </c>
      <c r="BV518" s="612">
        <v>904</v>
      </c>
      <c r="BW518" s="612">
        <v>828</v>
      </c>
      <c r="BX518" s="612">
        <v>857</v>
      </c>
      <c r="BY518" s="612">
        <v>763</v>
      </c>
      <c r="BZ518" s="612">
        <v>786</v>
      </c>
      <c r="CA518" s="612">
        <v>761</v>
      </c>
      <c r="CB518" s="612">
        <v>745</v>
      </c>
      <c r="CC518" s="612">
        <v>753</v>
      </c>
      <c r="CD518" s="612">
        <v>754</v>
      </c>
      <c r="CE518" s="612">
        <v>696</v>
      </c>
      <c r="CF518" s="612">
        <v>706</v>
      </c>
      <c r="CG518" s="612">
        <v>707</v>
      </c>
      <c r="CH518" s="612">
        <v>714</v>
      </c>
      <c r="CI518" s="612">
        <v>737</v>
      </c>
      <c r="CJ518" s="612">
        <v>775</v>
      </c>
      <c r="CK518" s="612">
        <v>562</v>
      </c>
      <c r="CL518" s="612">
        <v>555</v>
      </c>
      <c r="CM518" s="612">
        <v>563</v>
      </c>
      <c r="CN518" s="612">
        <v>468</v>
      </c>
      <c r="CO518" s="612">
        <v>410</v>
      </c>
      <c r="CP518" s="612">
        <v>391</v>
      </c>
      <c r="CQ518" s="612">
        <v>349</v>
      </c>
      <c r="CR518" s="612">
        <v>336</v>
      </c>
      <c r="CS518" s="612">
        <v>307</v>
      </c>
      <c r="CT518" s="612">
        <v>239</v>
      </c>
      <c r="CU518" s="612">
        <v>231</v>
      </c>
      <c r="CV518" s="612">
        <v>180</v>
      </c>
      <c r="CW518" s="612">
        <v>170</v>
      </c>
      <c r="CX518" s="612">
        <v>135</v>
      </c>
      <c r="CY518" s="612">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2">
      <c r="A519" s="31" t="s">
        <v>222</v>
      </c>
      <c r="B519" s="1" t="s">
        <v>692</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612">
        <v>673</v>
      </c>
      <c r="N519" s="612">
        <v>647</v>
      </c>
      <c r="O519" s="612">
        <v>740</v>
      </c>
      <c r="P519" s="612">
        <v>723</v>
      </c>
      <c r="Q519" s="612">
        <v>730</v>
      </c>
      <c r="R519" s="612">
        <v>761</v>
      </c>
      <c r="S519" s="612">
        <v>793</v>
      </c>
      <c r="T519" s="612">
        <v>761</v>
      </c>
      <c r="U519" s="612">
        <v>814</v>
      </c>
      <c r="V519" s="612">
        <v>862</v>
      </c>
      <c r="W519" s="612">
        <v>831</v>
      </c>
      <c r="X519" s="612">
        <v>858</v>
      </c>
      <c r="Y519" s="612">
        <v>859</v>
      </c>
      <c r="Z519" s="612">
        <v>879</v>
      </c>
      <c r="AA519" s="612">
        <v>845</v>
      </c>
      <c r="AB519" s="612">
        <v>853</v>
      </c>
      <c r="AC519" s="612">
        <v>831</v>
      </c>
      <c r="AD519" s="612">
        <v>839</v>
      </c>
      <c r="AE519" s="612">
        <v>753</v>
      </c>
      <c r="AF519" s="612">
        <v>630</v>
      </c>
      <c r="AG519" s="612">
        <v>619</v>
      </c>
      <c r="AH519" s="612">
        <v>629</v>
      </c>
      <c r="AI519" s="612">
        <v>670</v>
      </c>
      <c r="AJ519" s="612">
        <v>758</v>
      </c>
      <c r="AK519" s="612">
        <v>790</v>
      </c>
      <c r="AL519" s="612">
        <v>832</v>
      </c>
      <c r="AM519" s="612">
        <v>753</v>
      </c>
      <c r="AN519" s="612">
        <v>823</v>
      </c>
      <c r="AO519" s="612">
        <v>819</v>
      </c>
      <c r="AP519" s="612">
        <v>821</v>
      </c>
      <c r="AQ519" s="612">
        <v>786</v>
      </c>
      <c r="AR519" s="612">
        <v>853</v>
      </c>
      <c r="AS519" s="612">
        <v>859</v>
      </c>
      <c r="AT519" s="612">
        <v>835</v>
      </c>
      <c r="AU519" s="612">
        <v>874</v>
      </c>
      <c r="AV519" s="612">
        <v>850</v>
      </c>
      <c r="AW519" s="612">
        <v>902</v>
      </c>
      <c r="AX519" s="612">
        <v>921</v>
      </c>
      <c r="AY519" s="612">
        <v>825</v>
      </c>
      <c r="AZ519" s="612">
        <v>847</v>
      </c>
      <c r="BA519" s="612">
        <v>842</v>
      </c>
      <c r="BB519" s="612">
        <v>901</v>
      </c>
      <c r="BC519" s="612">
        <v>918</v>
      </c>
      <c r="BD519" s="612">
        <v>874</v>
      </c>
      <c r="BE519" s="612">
        <v>746</v>
      </c>
      <c r="BF519" s="612">
        <v>759</v>
      </c>
      <c r="BG519" s="612">
        <v>795</v>
      </c>
      <c r="BH519" s="612">
        <v>790</v>
      </c>
      <c r="BI519" s="612">
        <v>799</v>
      </c>
      <c r="BJ519" s="612">
        <v>915</v>
      </c>
      <c r="BK519" s="612">
        <v>955</v>
      </c>
      <c r="BL519" s="612">
        <v>1013</v>
      </c>
      <c r="BM519" s="612">
        <v>995</v>
      </c>
      <c r="BN519" s="612">
        <v>1003</v>
      </c>
      <c r="BO519" s="612">
        <v>969</v>
      </c>
      <c r="BP519" s="612">
        <v>960</v>
      </c>
      <c r="BQ519" s="612">
        <v>1007</v>
      </c>
      <c r="BR519" s="612">
        <v>986</v>
      </c>
      <c r="BS519" s="612">
        <v>968</v>
      </c>
      <c r="BT519" s="612">
        <v>965</v>
      </c>
      <c r="BU519" s="612">
        <v>916</v>
      </c>
      <c r="BV519" s="612">
        <v>884</v>
      </c>
      <c r="BW519" s="612">
        <v>833</v>
      </c>
      <c r="BX519" s="612">
        <v>743</v>
      </c>
      <c r="BY519" s="612">
        <v>790</v>
      </c>
      <c r="BZ519" s="612">
        <v>795</v>
      </c>
      <c r="CA519" s="612">
        <v>774</v>
      </c>
      <c r="CB519" s="612">
        <v>688</v>
      </c>
      <c r="CC519" s="612">
        <v>698</v>
      </c>
      <c r="CD519" s="612">
        <v>716</v>
      </c>
      <c r="CE519" s="612">
        <v>688</v>
      </c>
      <c r="CF519" s="612">
        <v>667</v>
      </c>
      <c r="CG519" s="612">
        <v>680</v>
      </c>
      <c r="CH519" s="612">
        <v>708</v>
      </c>
      <c r="CI519" s="612">
        <v>706</v>
      </c>
      <c r="CJ519" s="612">
        <v>754</v>
      </c>
      <c r="CK519" s="612">
        <v>572</v>
      </c>
      <c r="CL519" s="612">
        <v>512</v>
      </c>
      <c r="CM519" s="612">
        <v>519</v>
      </c>
      <c r="CN519" s="612">
        <v>494</v>
      </c>
      <c r="CO519" s="612">
        <v>429</v>
      </c>
      <c r="CP519" s="612">
        <v>357</v>
      </c>
      <c r="CQ519" s="612">
        <v>308</v>
      </c>
      <c r="CR519" s="612">
        <v>275</v>
      </c>
      <c r="CS519" s="612">
        <v>281</v>
      </c>
      <c r="CT519" s="612">
        <v>235</v>
      </c>
      <c r="CU519" s="612">
        <v>217</v>
      </c>
      <c r="CV519" s="612">
        <v>176</v>
      </c>
      <c r="CW519" s="612">
        <v>132</v>
      </c>
      <c r="CX519" s="612">
        <v>132</v>
      </c>
      <c r="CY519" s="612">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ht="15" x14ac:dyDescent="0.25">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2">
      <c r="A521" s="31" t="s">
        <v>226</v>
      </c>
      <c r="B521" s="1" t="s">
        <v>693</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
      <c r="A522" s="31" t="s">
        <v>226</v>
      </c>
      <c r="B522" s="1" t="s">
        <v>694</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
      <c r="A523" s="31" t="s">
        <v>226</v>
      </c>
      <c r="B523" s="1" t="s">
        <v>695</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
      <c r="A524" s="31" t="s">
        <v>226</v>
      </c>
      <c r="B524" s="1" t="s">
        <v>696</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
      <c r="A525" s="31" t="s">
        <v>226</v>
      </c>
      <c r="B525" s="1" t="s">
        <v>697</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
      <c r="A526" s="31" t="s">
        <v>226</v>
      </c>
      <c r="B526" s="1" t="s">
        <v>698</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
      <c r="A527" s="31" t="s">
        <v>226</v>
      </c>
      <c r="B527" s="1" t="s">
        <v>699</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
      <c r="A528" s="31" t="s">
        <v>226</v>
      </c>
      <c r="B528" s="1" t="s">
        <v>700</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
      <c r="A529" s="31" t="s">
        <v>226</v>
      </c>
      <c r="B529" s="1" t="s">
        <v>701</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
      <c r="A530" s="31" t="s">
        <v>226</v>
      </c>
      <c r="B530" s="1" t="s">
        <v>702</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
      <c r="A531" s="31" t="s">
        <v>226</v>
      </c>
      <c r="B531" s="1" t="s">
        <v>703</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ht="15" x14ac:dyDescent="0.25">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2">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ht="15" x14ac:dyDescent="0.25">
      <c r="A535" s="632" t="s">
        <v>999</v>
      </c>
      <c r="B535" s="633"/>
      <c r="C535" s="634"/>
      <c r="D535" s="635"/>
      <c r="E535" s="635"/>
      <c r="F535" s="635"/>
      <c r="G535" s="636"/>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ht="15" x14ac:dyDescent="0.25">
      <c r="C537" s="11"/>
      <c r="D537" s="637" t="s">
        <v>1000</v>
      </c>
      <c r="E537" s="638" t="s">
        <v>1001</v>
      </c>
      <c r="F537" s="637" t="s">
        <v>1002</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5" x14ac:dyDescent="0.25">
      <c r="C538" s="11"/>
      <c r="D538" s="639" t="s">
        <v>1003</v>
      </c>
      <c r="E538" s="640" t="s">
        <v>1004</v>
      </c>
      <c r="F538" s="639" t="s">
        <v>1005</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5" x14ac:dyDescent="0.25">
      <c r="C539" s="11"/>
      <c r="D539" s="639" t="s">
        <v>1006</v>
      </c>
      <c r="E539" s="640" t="s">
        <v>1007</v>
      </c>
      <c r="F539" s="639" t="s">
        <v>1008</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5" x14ac:dyDescent="0.25">
      <c r="C540" s="1" t="s">
        <v>1009</v>
      </c>
      <c r="D540" s="641">
        <v>60238038</v>
      </c>
      <c r="E540" s="642"/>
      <c r="F540" s="643"/>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5" x14ac:dyDescent="0.25">
      <c r="C541" s="644" t="s">
        <v>1010</v>
      </c>
      <c r="D541" s="645"/>
      <c r="E541" s="646">
        <v>60856434</v>
      </c>
      <c r="F541" s="641">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5" x14ac:dyDescent="0.25">
      <c r="C542" s="644" t="s">
        <v>1011</v>
      </c>
      <c r="D542" s="645"/>
      <c r="E542" s="647">
        <f>(E541-D540)/D540</f>
        <v>1.0265872205200309E-2</v>
      </c>
      <c r="F542" s="648">
        <f>(F541-D540)/D540</f>
        <v>2.0553358660187437E-2</v>
      </c>
      <c r="G542" s="649">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5" x14ac:dyDescent="0.25">
      <c r="C543" s="644" t="s">
        <v>1012</v>
      </c>
      <c r="D543" s="645"/>
      <c r="E543" s="650"/>
      <c r="F543" s="641">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5" x14ac:dyDescent="0.25">
      <c r="C544" s="644" t="s">
        <v>1013</v>
      </c>
      <c r="D544" s="645"/>
      <c r="E544" s="650"/>
      <c r="F544" s="641">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
      <c r="A547" s="628"/>
      <c r="B547" s="629"/>
      <c r="C547" s="21" t="s">
        <v>704</v>
      </c>
      <c r="D547" s="139" t="s">
        <v>705</v>
      </c>
      <c r="E547" s="139" t="s">
        <v>706</v>
      </c>
      <c r="F547" s="139" t="s">
        <v>707</v>
      </c>
      <c r="G547" s="139" t="s">
        <v>708</v>
      </c>
      <c r="H547" s="139" t="s">
        <v>709</v>
      </c>
      <c r="I547" s="139" t="s">
        <v>710</v>
      </c>
      <c r="J547" s="568" t="s">
        <v>711</v>
      </c>
      <c r="K547" s="571" t="s">
        <v>712</v>
      </c>
      <c r="L547" s="348" t="s">
        <v>713</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
      <c r="A548" s="630" t="s">
        <v>998</v>
      </c>
      <c r="C548" s="21" t="s">
        <v>714</v>
      </c>
      <c r="D548" s="788" t="s">
        <v>715</v>
      </c>
      <c r="E548" s="789"/>
      <c r="F548" s="789"/>
      <c r="G548" s="789"/>
      <c r="H548" s="789"/>
      <c r="I548" s="790"/>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
      <c r="A549" s="630" t="s">
        <v>998</v>
      </c>
      <c r="B549" s="11">
        <v>0</v>
      </c>
      <c r="C549" s="138" t="s">
        <v>716</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
      <c r="A550" s="630" t="s">
        <v>998</v>
      </c>
      <c r="B550" s="11">
        <v>1</v>
      </c>
      <c r="C550" s="138" t="s">
        <v>717</v>
      </c>
      <c r="D550" s="142"/>
      <c r="E550" s="142">
        <v>1.0090702843828887</v>
      </c>
      <c r="F550" s="142">
        <v>1.0170393771683619</v>
      </c>
      <c r="G550" s="142">
        <v>1.0238793000184203</v>
      </c>
      <c r="H550" s="142">
        <v>1.0295635385778663</v>
      </c>
      <c r="I550" s="142">
        <v>1.0351195322438309</v>
      </c>
      <c r="J550" s="569">
        <f>(I550-100%)/5</f>
        <v>7.0239064487661821E-3</v>
      </c>
      <c r="K550" s="572">
        <f t="shared" ref="K550:K563" si="144">(I550/100%)^(1/5)-1</f>
        <v>6.9272652964273984E-3</v>
      </c>
      <c r="L550" s="567">
        <v>6.9272652964273984E-3</v>
      </c>
      <c r="M550" s="563"/>
      <c r="N550" s="563"/>
      <c r="O550" s="564"/>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
      <c r="A551" s="630" t="s">
        <v>998</v>
      </c>
      <c r="B551" s="11">
        <v>2</v>
      </c>
      <c r="C551" s="138" t="s">
        <v>718</v>
      </c>
      <c r="D551" s="142"/>
      <c r="E551" s="142">
        <v>0.96173452499784384</v>
      </c>
      <c r="F551" s="142">
        <v>0.949547172001034</v>
      </c>
      <c r="G551" s="142">
        <v>0.93849673400054612</v>
      </c>
      <c r="H551" s="142">
        <v>0.92766778564091124</v>
      </c>
      <c r="I551" s="142">
        <v>0.91680012001884892</v>
      </c>
      <c r="J551" s="569">
        <f t="shared" ref="J551:J563" si="145">(I551-100%)/5</f>
        <v>-1.6639975996230218E-2</v>
      </c>
      <c r="K551" s="572">
        <f t="shared" si="144"/>
        <v>-1.7223117235316776E-2</v>
      </c>
      <c r="L551" s="567">
        <v>-1.7223117235316776E-2</v>
      </c>
      <c r="M551" s="563"/>
      <c r="N551" s="563"/>
      <c r="O551" s="564"/>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
      <c r="A552" s="630" t="s">
        <v>998</v>
      </c>
      <c r="B552" s="11">
        <v>3</v>
      </c>
      <c r="C552" s="138" t="s">
        <v>719</v>
      </c>
      <c r="D552" s="142"/>
      <c r="E552" s="142">
        <v>1.0707061745580608</v>
      </c>
      <c r="F552" s="142">
        <v>1.0961797739954167</v>
      </c>
      <c r="G552" s="142">
        <v>1.1120352164720533</v>
      </c>
      <c r="H552" s="142">
        <v>1.1172916519636134</v>
      </c>
      <c r="I552" s="142">
        <v>1.1228072524832799</v>
      </c>
      <c r="J552" s="569">
        <f t="shared" si="145"/>
        <v>2.4561450496655989E-2</v>
      </c>
      <c r="K552" s="572">
        <f t="shared" si="144"/>
        <v>2.3436830336478032E-2</v>
      </c>
      <c r="L552" s="567">
        <v>2.3436830336478032E-2</v>
      </c>
      <c r="M552" s="563"/>
      <c r="N552" s="563"/>
      <c r="O552" s="564"/>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
      <c r="A553" s="630" t="s">
        <v>998</v>
      </c>
      <c r="B553" s="11">
        <v>4</v>
      </c>
      <c r="C553" s="138" t="s">
        <v>720</v>
      </c>
      <c r="D553" s="142"/>
      <c r="E553" s="142">
        <v>0.99704312080608826</v>
      </c>
      <c r="F553" s="142">
        <v>0.99705853203848904</v>
      </c>
      <c r="G553" s="142">
        <v>0.99472603914083957</v>
      </c>
      <c r="H553" s="142">
        <v>0.9891090180954597</v>
      </c>
      <c r="I553" s="142">
        <v>0.98354979851924307</v>
      </c>
      <c r="J553" s="569">
        <f t="shared" si="145"/>
        <v>-3.2900402961513866E-3</v>
      </c>
      <c r="K553" s="572">
        <f t="shared" si="144"/>
        <v>-3.3119051937137156E-3</v>
      </c>
      <c r="L553" s="567">
        <v>-3.3119051937137156E-3</v>
      </c>
      <c r="M553" s="563"/>
      <c r="N553" s="563"/>
      <c r="O553" s="564"/>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
      <c r="A554" s="630" t="s">
        <v>998</v>
      </c>
      <c r="B554" s="11">
        <v>5</v>
      </c>
      <c r="C554" s="138" t="s">
        <v>721</v>
      </c>
      <c r="D554" s="142"/>
      <c r="E554" s="142">
        <v>0.99263087643060499</v>
      </c>
      <c r="F554" s="142">
        <v>0.99530151668079492</v>
      </c>
      <c r="G554" s="142">
        <v>0.99708461172748208</v>
      </c>
      <c r="H554" s="142">
        <v>0.99857946574262668</v>
      </c>
      <c r="I554" s="142">
        <v>1.0006058081967233</v>
      </c>
      <c r="J554" s="569">
        <f t="shared" si="145"/>
        <v>1.2116163934465796E-4</v>
      </c>
      <c r="K554" s="572">
        <f t="shared" si="144"/>
        <v>1.2113228972654433E-4</v>
      </c>
      <c r="L554" s="567">
        <v>1.2113228972654433E-4</v>
      </c>
      <c r="M554" s="563"/>
      <c r="N554" s="563"/>
      <c r="O554" s="564"/>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
      <c r="A555" s="630" t="s">
        <v>998</v>
      </c>
      <c r="B555" s="11">
        <v>6</v>
      </c>
      <c r="C555" s="561" t="s">
        <v>722</v>
      </c>
      <c r="D555" s="562"/>
      <c r="E555" s="562">
        <v>1.0123419501207302</v>
      </c>
      <c r="F555" s="562">
        <v>1.0224746276334522</v>
      </c>
      <c r="G555" s="562">
        <v>1.0318096590054313</v>
      </c>
      <c r="H555" s="562">
        <v>1.040568100689119</v>
      </c>
      <c r="I555" s="562">
        <v>1.0491476885800255</v>
      </c>
      <c r="J555" s="575">
        <f t="shared" si="145"/>
        <v>9.8295377160050983E-3</v>
      </c>
      <c r="K555" s="576">
        <f t="shared" si="144"/>
        <v>9.641807463928842E-3</v>
      </c>
      <c r="L555" s="631">
        <v>9.6418074639288403E-3</v>
      </c>
      <c r="M555" s="563"/>
      <c r="N555" s="563"/>
      <c r="O555" s="564"/>
      <c r="P555" s="13"/>
      <c r="Q555" s="565"/>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
      <c r="A556" s="630" t="s">
        <v>998</v>
      </c>
      <c r="B556" s="11">
        <v>7</v>
      </c>
      <c r="C556" s="138" t="s">
        <v>723</v>
      </c>
      <c r="D556" s="142"/>
      <c r="E556" s="142">
        <v>1.0234861902526262</v>
      </c>
      <c r="F556" s="142">
        <v>1.0362595252458171</v>
      </c>
      <c r="G556" s="142">
        <v>1.0484007089616401</v>
      </c>
      <c r="H556" s="142">
        <v>1.0594741481215733</v>
      </c>
      <c r="I556" s="142">
        <v>1.0705464348984648</v>
      </c>
      <c r="J556" s="569">
        <f t="shared" si="145"/>
        <v>1.4109286979692959E-2</v>
      </c>
      <c r="K556" s="572">
        <f t="shared" si="144"/>
        <v>1.372720562144969E-2</v>
      </c>
      <c r="L556" s="567">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
      <c r="A557" s="630" t="s">
        <v>998</v>
      </c>
      <c r="B557" s="11">
        <v>8</v>
      </c>
      <c r="C557" s="138" t="s">
        <v>724</v>
      </c>
      <c r="D557" s="142"/>
      <c r="E557" s="142">
        <v>1.0327181385810218</v>
      </c>
      <c r="F557" s="142">
        <v>1.0462000918268668</v>
      </c>
      <c r="G557" s="142">
        <v>1.0579618766687933</v>
      </c>
      <c r="H557" s="142">
        <v>1.0679645783102321</v>
      </c>
      <c r="I557" s="142">
        <v>1.0772361012999514</v>
      </c>
      <c r="J557" s="569">
        <f t="shared" si="145"/>
        <v>1.544722025999028E-2</v>
      </c>
      <c r="K557" s="572">
        <f t="shared" si="144"/>
        <v>1.4990973227517745E-2</v>
      </c>
      <c r="L557" s="567">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
      <c r="A558" s="630" t="s">
        <v>998</v>
      </c>
      <c r="B558" s="11">
        <v>9</v>
      </c>
      <c r="C558" s="138" t="s">
        <v>725</v>
      </c>
      <c r="D558" s="142"/>
      <c r="E558" s="142">
        <v>1.0231841082591016</v>
      </c>
      <c r="F558" s="142">
        <v>1.0358890289056439</v>
      </c>
      <c r="G558" s="142">
        <v>1.0481652070229122</v>
      </c>
      <c r="H558" s="142">
        <v>1.0592891805745575</v>
      </c>
      <c r="I558" s="142">
        <v>1.069681907109314</v>
      </c>
      <c r="J558" s="569">
        <f t="shared" si="145"/>
        <v>1.3936381421862798E-2</v>
      </c>
      <c r="K558" s="572">
        <f t="shared" si="144"/>
        <v>1.3563424108683053E-2</v>
      </c>
      <c r="L558" s="567">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
      <c r="A559" s="630" t="s">
        <v>998</v>
      </c>
      <c r="B559" s="11">
        <v>10</v>
      </c>
      <c r="C559" s="138" t="s">
        <v>726</v>
      </c>
      <c r="D559" s="142"/>
      <c r="E559" s="142">
        <v>1.0341666734322146</v>
      </c>
      <c r="F559" s="142">
        <v>1.0480179725760268</v>
      </c>
      <c r="G559" s="142">
        <v>1.0601012155156095</v>
      </c>
      <c r="H559" s="142">
        <v>1.0702848288878077</v>
      </c>
      <c r="I559" s="142">
        <v>1.0797421461131422</v>
      </c>
      <c r="J559" s="569">
        <f t="shared" si="145"/>
        <v>1.5948429222628447E-2</v>
      </c>
      <c r="K559" s="572">
        <f t="shared" si="144"/>
        <v>1.5462782371323147E-2</v>
      </c>
      <c r="L559" s="567">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
      <c r="A560" s="630" t="s">
        <v>998</v>
      </c>
      <c r="B560" s="11">
        <v>11</v>
      </c>
      <c r="C560" s="138" t="s">
        <v>727</v>
      </c>
      <c r="D560" s="142"/>
      <c r="E560" s="142">
        <v>1.0233409873632719</v>
      </c>
      <c r="F560" s="142">
        <v>1.0360814373748364</v>
      </c>
      <c r="G560" s="142">
        <v>1.0482875093579402</v>
      </c>
      <c r="H560" s="142">
        <v>1.0593852390742311</v>
      </c>
      <c r="I560" s="142">
        <v>1.0701308790705675</v>
      </c>
      <c r="J560" s="569">
        <f t="shared" si="145"/>
        <v>1.4026175814113495E-2</v>
      </c>
      <c r="K560" s="572">
        <f t="shared" si="144"/>
        <v>1.364849335671825E-2</v>
      </c>
      <c r="L560" s="567">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
      <c r="A561" s="630" t="s">
        <v>998</v>
      </c>
      <c r="B561" s="11">
        <v>12</v>
      </c>
      <c r="C561" s="138" t="s">
        <v>728</v>
      </c>
      <c r="D561" s="142"/>
      <c r="E561" s="142">
        <v>1.0334066911438702</v>
      </c>
      <c r="F561" s="142">
        <v>1.0470642108004322</v>
      </c>
      <c r="G561" s="142">
        <v>1.0589787988674986</v>
      </c>
      <c r="H561" s="142">
        <v>1.0690674958412283</v>
      </c>
      <c r="I561" s="142">
        <v>1.0784273350333435</v>
      </c>
      <c r="J561" s="569">
        <f t="shared" si="145"/>
        <v>1.5685467006668709E-2</v>
      </c>
      <c r="K561" s="572">
        <f t="shared" si="144"/>
        <v>1.5215354312122953E-2</v>
      </c>
      <c r="L561" s="567">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
      <c r="A562" s="630" t="s">
        <v>998</v>
      </c>
      <c r="B562" s="11">
        <v>13</v>
      </c>
      <c r="C562" s="138" t="s">
        <v>729</v>
      </c>
      <c r="D562" s="142"/>
      <c r="E562" s="142">
        <v>1.0535754755454367</v>
      </c>
      <c r="F562" s="142">
        <v>1.079128927735721</v>
      </c>
      <c r="G562" s="142">
        <v>1.10377830980113</v>
      </c>
      <c r="H562" s="142">
        <v>1.1267313398994689</v>
      </c>
      <c r="I562" s="142">
        <v>1.1493400902365778</v>
      </c>
      <c r="J562" s="569">
        <f t="shared" si="145"/>
        <v>2.9868018047315557E-2</v>
      </c>
      <c r="K562" s="572">
        <f t="shared" si="144"/>
        <v>2.8228674820024224E-2</v>
      </c>
      <c r="L562" s="567">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
      <c r="A563" s="58"/>
      <c r="B563" s="413">
        <v>14</v>
      </c>
      <c r="C563" s="138" t="s">
        <v>730</v>
      </c>
      <c r="D563" s="142"/>
      <c r="E563" s="142">
        <v>1.0081055095898279</v>
      </c>
      <c r="F563" s="142">
        <v>1.0157451629461605</v>
      </c>
      <c r="G563" s="142">
        <v>1.0222827798035592</v>
      </c>
      <c r="H563" s="142">
        <v>1.0276922014787842</v>
      </c>
      <c r="I563" s="142">
        <v>1.032997413899986</v>
      </c>
      <c r="J563" s="569">
        <f t="shared" si="145"/>
        <v>6.5994827799972008E-3</v>
      </c>
      <c r="K563" s="572">
        <f t="shared" si="144"/>
        <v>6.5140621434043311E-3</v>
      </c>
      <c r="L563" s="567">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
      <c r="B564" s="11">
        <v>15</v>
      </c>
      <c r="C564" s="138"/>
      <c r="D564" s="142"/>
      <c r="E564" s="142"/>
      <c r="F564" s="142"/>
      <c r="G564" s="142"/>
      <c r="H564" s="142"/>
      <c r="I564" s="142"/>
      <c r="J564" s="570" t="s">
        <v>731</v>
      </c>
      <c r="K564" s="6"/>
      <c r="L564" s="347" t="s">
        <v>732</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
      <c r="E565" s="15"/>
      <c r="L565" s="347" t="s">
        <v>733</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
      <c r="E566" s="15"/>
      <c r="L566" s="347" t="s">
        <v>734</v>
      </c>
      <c r="M566" s="13"/>
      <c r="N566" s="13"/>
      <c r="O566" s="13"/>
      <c r="P566" s="13"/>
      <c r="Q566" s="13"/>
      <c r="R566" s="566"/>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
      <c r="C567" s="577" t="s">
        <v>735</v>
      </c>
      <c r="E567" s="15"/>
      <c r="L567" s="347" t="s">
        <v>736</v>
      </c>
      <c r="M567" s="13"/>
      <c r="N567" s="13"/>
      <c r="O567" s="13"/>
      <c r="P567" s="13"/>
      <c r="Q567" s="13"/>
      <c r="R567" s="566"/>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
      <c r="E568" s="15"/>
      <c r="L568" s="347" t="s">
        <v>737</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
      <c r="E569" s="15"/>
      <c r="L569" s="347"/>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
      <c r="C570" s="11"/>
      <c r="L570" s="347" t="s">
        <v>738</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ht="15" x14ac:dyDescent="0.25">
      <c r="C571" s="11"/>
      <c r="L571" s="347" t="s">
        <v>739</v>
      </c>
      <c r="M571" s="13"/>
      <c r="N571" s="13"/>
      <c r="O571" s="652"/>
      <c r="P571" s="653" t="s">
        <v>1015</v>
      </c>
      <c r="Q571" s="654"/>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45" customHeight="1" x14ac:dyDescent="0.2">
      <c r="C572" s="11"/>
      <c r="M572" s="13"/>
      <c r="N572" s="13"/>
      <c r="O572" s="657" t="s">
        <v>711</v>
      </c>
      <c r="P572" s="657" t="s">
        <v>712</v>
      </c>
      <c r="Q572" s="658" t="s">
        <v>1016</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
      <c r="A573" s="628"/>
      <c r="B573" s="629"/>
      <c r="C573" s="138" t="s">
        <v>717</v>
      </c>
      <c r="D573" s="651"/>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569">
        <f>(N573-100%)/10</f>
        <v>6.0996339197137541E-3</v>
      </c>
      <c r="P573" s="572">
        <f>(N573/100%)^(1/10)-1</f>
        <v>5.9384037531065026E-3</v>
      </c>
      <c r="Q573" s="655">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
      <c r="A574" s="630" t="s">
        <v>1014</v>
      </c>
      <c r="C574" s="138" t="s">
        <v>718</v>
      </c>
      <c r="D574" s="651"/>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569">
        <f t="shared" ref="O574:O586" si="146">(N574-100%)/10</f>
        <v>-6.0280923298853817E-3</v>
      </c>
      <c r="P574" s="572">
        <f t="shared" ref="P574:P586" si="147">(N574/100%)^(1/10)-1</f>
        <v>-6.1981420710855994E-3</v>
      </c>
      <c r="Q574" s="655">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
      <c r="A575" s="630" t="s">
        <v>1014</v>
      </c>
      <c r="C575" s="138" t="s">
        <v>719</v>
      </c>
      <c r="D575" s="651"/>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569">
        <f t="shared" si="146"/>
        <v>1.5087615236704566E-2</v>
      </c>
      <c r="P575" s="572">
        <f t="shared" si="147"/>
        <v>1.4151550808456648E-2</v>
      </c>
      <c r="Q575" s="655">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
      <c r="A576" s="630" t="s">
        <v>1014</v>
      </c>
      <c r="C576" s="138" t="s">
        <v>720</v>
      </c>
      <c r="D576" s="651"/>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569">
        <f t="shared" si="146"/>
        <v>8.1374209845206378E-4</v>
      </c>
      <c r="P576" s="572">
        <f t="shared" si="147"/>
        <v>8.1077757246905691E-4</v>
      </c>
      <c r="Q576" s="655">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
      <c r="A577" s="630" t="s">
        <v>1014</v>
      </c>
      <c r="C577" s="138" t="s">
        <v>721</v>
      </c>
      <c r="D577" s="651"/>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569">
        <f t="shared" si="146"/>
        <v>2.5619811438394092E-3</v>
      </c>
      <c r="P577" s="572">
        <f t="shared" si="147"/>
        <v>2.5329148145079028E-3</v>
      </c>
      <c r="Q577" s="655">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
      <c r="A578" s="630" t="s">
        <v>1014</v>
      </c>
      <c r="C578" s="561" t="s">
        <v>722</v>
      </c>
      <c r="D578" s="562"/>
      <c r="E578" s="562">
        <v>1.0123419501207302</v>
      </c>
      <c r="F578" s="562">
        <v>1.0224746276334522</v>
      </c>
      <c r="G578" s="562">
        <v>1.0318096590054313</v>
      </c>
      <c r="H578" s="562">
        <v>1.040568100689119</v>
      </c>
      <c r="I578" s="562">
        <v>1.0491476885800255</v>
      </c>
      <c r="J578" s="562">
        <v>1.0546473961073131</v>
      </c>
      <c r="K578" s="562">
        <v>1.0600156863772707</v>
      </c>
      <c r="L578" s="562">
        <v>1.0652587749595908</v>
      </c>
      <c r="M578" s="562">
        <v>1.0703773048442411</v>
      </c>
      <c r="N578" s="562">
        <v>1.0753751834317971</v>
      </c>
      <c r="O578" s="575">
        <f t="shared" si="146"/>
        <v>7.5375183431797051E-3</v>
      </c>
      <c r="P578" s="576">
        <f t="shared" si="147"/>
        <v>7.2934292896156272E-3</v>
      </c>
      <c r="Q578" s="576">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
      <c r="A579" s="630" t="s">
        <v>1014</v>
      </c>
      <c r="C579" s="138" t="s">
        <v>723</v>
      </c>
      <c r="D579" s="651"/>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569">
        <f t="shared" si="146"/>
        <v>9.7308873986410305E-3</v>
      </c>
      <c r="P579" s="572">
        <f t="shared" si="147"/>
        <v>9.3293197294876951E-3</v>
      </c>
      <c r="Q579" s="655">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
      <c r="A580" s="630" t="s">
        <v>1014</v>
      </c>
      <c r="C580" s="138" t="s">
        <v>724</v>
      </c>
      <c r="D580" s="651"/>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569">
        <f t="shared" si="146"/>
        <v>1.0416577441320607E-2</v>
      </c>
      <c r="P580" s="572">
        <f t="shared" si="147"/>
        <v>9.95826625164975E-3</v>
      </c>
      <c r="Q580" s="655">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
      <c r="A581" s="630" t="s">
        <v>1014</v>
      </c>
      <c r="C581" s="138" t="s">
        <v>725</v>
      </c>
      <c r="D581" s="651"/>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569">
        <f t="shared" si="146"/>
        <v>9.64227339891921E-3</v>
      </c>
      <c r="P581" s="572">
        <f t="shared" si="147"/>
        <v>9.2477809488915597E-3</v>
      </c>
      <c r="Q581" s="655">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
      <c r="A582" s="630" t="s">
        <v>1014</v>
      </c>
      <c r="C582" s="138" t="s">
        <v>726</v>
      </c>
      <c r="D582" s="651"/>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569">
        <f t="shared" si="146"/>
        <v>1.0673446748664817E-2</v>
      </c>
      <c r="P582" s="572">
        <f t="shared" si="147"/>
        <v>1.0192973847719333E-2</v>
      </c>
      <c r="Q582" s="655">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
      <c r="A583" s="630" t="s">
        <v>1014</v>
      </c>
      <c r="C583" s="138" t="s">
        <v>727</v>
      </c>
      <c r="D583" s="651"/>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569">
        <f t="shared" si="146"/>
        <v>9.6882929737077683E-3</v>
      </c>
      <c r="P583" s="572">
        <f t="shared" si="147"/>
        <v>9.2901335764377091E-3</v>
      </c>
      <c r="Q583" s="655">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
      <c r="A584" s="630" t="s">
        <v>1014</v>
      </c>
      <c r="C584" s="138" t="s">
        <v>728</v>
      </c>
      <c r="D584" s="651"/>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569">
        <f t="shared" si="146"/>
        <v>1.0538678763041154E-2</v>
      </c>
      <c r="P584" s="572">
        <f t="shared" si="147"/>
        <v>1.0069894342066732E-2</v>
      </c>
      <c r="Q584" s="655">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
      <c r="A585" s="630" t="s">
        <v>1014</v>
      </c>
      <c r="C585" s="138" t="s">
        <v>729</v>
      </c>
      <c r="D585" s="651"/>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569">
        <f t="shared" si="146"/>
        <v>1.7807228078299507E-2</v>
      </c>
      <c r="P585" s="572">
        <f t="shared" si="147"/>
        <v>1.6522963134986579E-2</v>
      </c>
      <c r="Q585" s="655">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
      <c r="A586" s="58"/>
      <c r="B586" s="413"/>
      <c r="C586" s="138" t="s">
        <v>730</v>
      </c>
      <c r="D586" s="651"/>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569">
        <f t="shared" si="146"/>
        <v>5.8821170316610384E-3</v>
      </c>
      <c r="P586" s="572">
        <f t="shared" si="147"/>
        <v>5.7319838926312983E-3</v>
      </c>
      <c r="Q586" s="655">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
      <c r="C587" s="11"/>
      <c r="E587" s="15"/>
      <c r="M587" s="13"/>
      <c r="N587" s="13"/>
      <c r="O587" s="570" t="s">
        <v>731</v>
      </c>
      <c r="P587" s="570" t="s">
        <v>731</v>
      </c>
      <c r="Q587" s="656"/>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
      <c r="C588" s="11"/>
      <c r="E588" s="15"/>
      <c r="M588" s="13"/>
      <c r="N588" s="13"/>
      <c r="O588" s="570" t="s">
        <v>1017</v>
      </c>
      <c r="P588" s="570" t="s">
        <v>1017</v>
      </c>
      <c r="Q588" s="656"/>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
      <c r="C589" s="11"/>
      <c r="E589" s="15"/>
      <c r="M589" s="13"/>
      <c r="N589" s="13"/>
      <c r="O589" s="13"/>
      <c r="P589" s="13"/>
      <c r="Q589" s="656" t="s">
        <v>738</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
      <c r="E590" s="15"/>
      <c r="M590" s="13"/>
      <c r="N590" s="13"/>
      <c r="O590" s="13"/>
      <c r="P590" s="13"/>
      <c r="Q590" s="656" t="s">
        <v>739</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Y146"/>
  <sheetViews>
    <sheetView showGridLines="0" zoomScale="55" zoomScaleNormal="55" workbookViewId="0">
      <selection activeCell="C109" sqref="C109"/>
    </sheetView>
  </sheetViews>
  <sheetFormatPr defaultRowHeight="15" x14ac:dyDescent="0.25"/>
  <cols>
    <col min="1" max="1" width="2.42578125" customWidth="1"/>
    <col min="2" max="2" width="5.85546875" customWidth="1"/>
    <col min="3" max="3" width="58.5703125" customWidth="1"/>
    <col min="4" max="4" width="19.42578125" customWidth="1"/>
    <col min="5" max="5" width="13.5703125" customWidth="1"/>
    <col min="6" max="6" width="14.5703125" customWidth="1"/>
    <col min="7" max="10" width="13.42578125" customWidth="1"/>
    <col min="11" max="11" width="14.5703125" bestFit="1" customWidth="1"/>
    <col min="12" max="18" width="13.42578125" customWidth="1"/>
    <col min="19" max="19" width="3.42578125" customWidth="1"/>
  </cols>
  <sheetData>
    <row r="1" spans="2:24" ht="30" customHeight="1" x14ac:dyDescent="0.25">
      <c r="B1" s="601" t="s">
        <v>1297</v>
      </c>
    </row>
    <row r="2" spans="2:24" ht="30" customHeight="1" x14ac:dyDescent="0.25">
      <c r="B2" s="155" t="s">
        <v>32</v>
      </c>
      <c r="C2" s="155"/>
      <c r="D2" s="154"/>
      <c r="E2" s="171"/>
      <c r="F2" s="154"/>
      <c r="G2" s="154"/>
      <c r="H2" s="154"/>
      <c r="I2" s="154"/>
      <c r="J2" s="154"/>
      <c r="K2" s="154"/>
      <c r="L2" s="154"/>
      <c r="M2" s="154"/>
      <c r="N2" s="154"/>
      <c r="O2" s="154"/>
      <c r="P2" s="154"/>
      <c r="Q2" s="154"/>
      <c r="R2" s="154"/>
      <c r="S2" s="154"/>
      <c r="T2" s="154"/>
      <c r="U2" s="154"/>
      <c r="V2" s="154"/>
      <c r="W2" s="154"/>
      <c r="X2" s="154"/>
    </row>
    <row r="4" spans="2:24" x14ac:dyDescent="0.25">
      <c r="B4" s="156" t="s">
        <v>33</v>
      </c>
      <c r="C4" s="337"/>
      <c r="D4" s="337"/>
      <c r="E4" s="337"/>
      <c r="F4" s="337"/>
      <c r="G4" s="337"/>
      <c r="H4" s="337"/>
      <c r="I4" s="337"/>
      <c r="J4" s="337"/>
      <c r="K4" s="337"/>
      <c r="L4" s="337"/>
      <c r="M4" s="337"/>
      <c r="N4" s="337"/>
      <c r="O4" s="337"/>
      <c r="P4" s="337"/>
      <c r="Q4" s="337"/>
      <c r="R4" s="337"/>
      <c r="S4" s="157"/>
    </row>
    <row r="5" spans="2:24" x14ac:dyDescent="0.25">
      <c r="B5" s="160"/>
      <c r="C5" t="s">
        <v>34</v>
      </c>
      <c r="S5" s="159"/>
    </row>
    <row r="6" spans="2:24" x14ac:dyDescent="0.25">
      <c r="B6" s="160"/>
      <c r="C6" t="s">
        <v>35</v>
      </c>
      <c r="S6" s="159"/>
    </row>
    <row r="7" spans="2:24" x14ac:dyDescent="0.25">
      <c r="B7" s="160"/>
      <c r="C7" t="s">
        <v>36</v>
      </c>
      <c r="S7" s="159"/>
    </row>
    <row r="8" spans="2:24" x14ac:dyDescent="0.25">
      <c r="B8" s="161"/>
      <c r="C8" s="162"/>
      <c r="D8" s="162"/>
      <c r="E8" s="162"/>
      <c r="F8" s="162"/>
      <c r="G8" s="162"/>
      <c r="H8" s="162"/>
      <c r="I8" s="162"/>
      <c r="J8" s="162"/>
      <c r="K8" s="162"/>
      <c r="L8" s="162"/>
      <c r="M8" s="162"/>
      <c r="N8" s="162"/>
      <c r="O8" s="162"/>
      <c r="P8" s="162"/>
      <c r="Q8" s="162"/>
      <c r="R8" s="162"/>
      <c r="S8" s="159"/>
    </row>
    <row r="9" spans="2:24" x14ac:dyDescent="0.25">
      <c r="S9" s="198"/>
    </row>
    <row r="10" spans="2:24" x14ac:dyDescent="0.25">
      <c r="B10" s="156" t="s">
        <v>37</v>
      </c>
      <c r="C10" s="337"/>
      <c r="D10" s="337"/>
      <c r="E10" s="337"/>
      <c r="F10" s="337"/>
      <c r="G10" s="337"/>
      <c r="H10" s="337"/>
      <c r="I10" s="337"/>
      <c r="J10" s="337"/>
      <c r="K10" s="337"/>
      <c r="L10" s="337"/>
      <c r="M10" s="337"/>
      <c r="N10" s="337"/>
      <c r="O10" s="337"/>
      <c r="P10" s="337"/>
      <c r="Q10" s="337"/>
      <c r="R10" s="337"/>
      <c r="S10" s="159"/>
    </row>
    <row r="11" spans="2:24" x14ac:dyDescent="0.25">
      <c r="B11" s="158"/>
      <c r="C11" t="s">
        <v>38</v>
      </c>
      <c r="E11" s="150" t="s">
        <v>39</v>
      </c>
      <c r="S11" s="159"/>
    </row>
    <row r="12" spans="2:24" x14ac:dyDescent="0.25">
      <c r="B12" s="158"/>
      <c r="C12" t="s">
        <v>40</v>
      </c>
      <c r="E12" s="150" t="s">
        <v>41</v>
      </c>
      <c r="G12" s="128">
        <f>'Population selection'!F14</f>
        <v>45219492</v>
      </c>
      <c r="H12" t="str">
        <f>C25&amp;" population based on selection on left using mid-2022 ONS data"</f>
        <v>Adult population population based on selection on left using mid-2022 ONS data</v>
      </c>
      <c r="S12" s="159"/>
    </row>
    <row r="13" spans="2:24" x14ac:dyDescent="0.25">
      <c r="B13" s="158"/>
      <c r="E13" s="659"/>
      <c r="G13" s="754">
        <f>2.05533586601874%</f>
        <v>2.0553358660187402E-2</v>
      </c>
      <c r="H13" t="s">
        <v>1018</v>
      </c>
      <c r="S13" s="159"/>
    </row>
    <row r="14" spans="2:24" x14ac:dyDescent="0.25">
      <c r="B14" s="158"/>
      <c r="C14" s="148"/>
      <c r="G14" s="128">
        <f>(100%+G13)*G12</f>
        <v>46148904.437507473</v>
      </c>
      <c r="H14" t="s">
        <v>1021</v>
      </c>
      <c r="S14" s="159"/>
    </row>
    <row r="15" spans="2:24" x14ac:dyDescent="0.25">
      <c r="B15" s="160"/>
      <c r="C15" t="s">
        <v>42</v>
      </c>
      <c r="E15" s="755" t="s">
        <v>43</v>
      </c>
      <c r="F15" s="170" t="str">
        <f>IF(E15="yes","","If no, enter current locality population below")</f>
        <v/>
      </c>
      <c r="S15" s="159"/>
    </row>
    <row r="16" spans="2:24" x14ac:dyDescent="0.25">
      <c r="B16" s="160"/>
      <c r="F16" s="170" t="str">
        <f>IF(AND(NOT(ISBLANK(E17)),E15="yes"),"error - change cell above to 'no'","")</f>
        <v/>
      </c>
      <c r="S16" s="159"/>
    </row>
    <row r="17" spans="2:25" x14ac:dyDescent="0.25">
      <c r="B17" s="160"/>
      <c r="C17" t="str">
        <f>"Manually entered current locality population "&amp;IF(E15="no","","(n/a)")</f>
        <v>Manually entered current locality population (n/a)</v>
      </c>
      <c r="E17" s="756"/>
      <c r="F17" s="170" t="str">
        <f>IF(E15="yes","Leave blue cell on left blank if NICE estimate is used","")</f>
        <v>Leave blue cell on left blank if NICE estimate is used</v>
      </c>
      <c r="S17" s="159"/>
    </row>
    <row r="18" spans="2:25" x14ac:dyDescent="0.25">
      <c r="B18" s="160"/>
      <c r="F18" s="170" t="str">
        <f>IF(AND(ISBLANK(E17),E15="no"),"error - enter current locality population above","")</f>
        <v/>
      </c>
      <c r="S18" s="159"/>
    </row>
    <row r="19" spans="2:25" x14ac:dyDescent="0.25">
      <c r="B19" s="160"/>
      <c r="C19" t="s">
        <v>1019</v>
      </c>
      <c r="D19" s="152"/>
      <c r="E19" s="754">
        <v>9.6418074639288403E-3</v>
      </c>
      <c r="F19" t="str">
        <f>IF(E19=0.00964180746392884,"Enter local value or delete the NICE assumption if required","Local value")</f>
        <v>Enter local value or delete the NICE assumption if required</v>
      </c>
      <c r="S19" s="159"/>
    </row>
    <row r="20" spans="2:25" x14ac:dyDescent="0.25">
      <c r="B20" s="160"/>
      <c r="C20" t="s">
        <v>1020</v>
      </c>
      <c r="D20" s="152"/>
      <c r="E20" s="754">
        <v>0</v>
      </c>
      <c r="F20" t="str">
        <f>IF(E20=0,"Enter local value or delete the NICE assumption if required","Local value")</f>
        <v>Enter local value or delete the NICE assumption if required</v>
      </c>
      <c r="S20" s="159"/>
    </row>
    <row r="21" spans="2:25" x14ac:dyDescent="0.25">
      <c r="B21" s="161"/>
      <c r="C21" s="162"/>
      <c r="D21" s="162"/>
      <c r="E21" s="162"/>
      <c r="F21" s="162"/>
      <c r="G21" s="162"/>
      <c r="H21" s="162"/>
      <c r="I21" s="162"/>
      <c r="J21" s="162"/>
      <c r="K21" s="162"/>
      <c r="L21" s="162"/>
      <c r="M21" s="162"/>
      <c r="N21" s="162"/>
      <c r="O21" s="162"/>
      <c r="P21" s="162"/>
      <c r="Q21" s="162"/>
      <c r="R21" s="162"/>
      <c r="S21" s="163"/>
    </row>
    <row r="23" spans="2:25" x14ac:dyDescent="0.25">
      <c r="B23" s="156" t="s">
        <v>44</v>
      </c>
      <c r="C23" s="337"/>
      <c r="D23" s="337"/>
      <c r="E23" s="337"/>
      <c r="F23" s="337"/>
      <c r="G23" s="337"/>
      <c r="H23" s="337"/>
      <c r="I23" s="337"/>
      <c r="J23" s="337"/>
      <c r="K23" s="337"/>
      <c r="L23" s="337"/>
      <c r="M23" s="337"/>
      <c r="N23" s="337"/>
      <c r="O23" s="337"/>
      <c r="P23" s="337"/>
      <c r="Q23" s="337"/>
      <c r="R23" s="337"/>
      <c r="S23" s="337"/>
      <c r="T23" s="337"/>
      <c r="U23" s="337"/>
      <c r="V23" s="337"/>
      <c r="W23" s="337"/>
      <c r="X23" s="157"/>
    </row>
    <row r="24" spans="2:25" ht="84.95" customHeight="1" x14ac:dyDescent="0.25">
      <c r="B24" s="158"/>
      <c r="F24" s="241" t="s">
        <v>45</v>
      </c>
      <c r="G24" s="165" t="s">
        <v>46</v>
      </c>
      <c r="H24" s="229" t="s">
        <v>47</v>
      </c>
      <c r="I24" s="416"/>
      <c r="J24" s="416"/>
      <c r="K24" s="416"/>
      <c r="L24" s="416"/>
      <c r="M24" s="416"/>
      <c r="N24" s="416"/>
      <c r="O24" s="416"/>
      <c r="P24" s="416"/>
      <c r="Q24" s="416"/>
      <c r="R24" s="416"/>
      <c r="S24" s="416"/>
      <c r="T24" s="416"/>
      <c r="U24" s="416"/>
      <c r="V24" s="416"/>
      <c r="W24" s="416"/>
      <c r="X24" s="230"/>
    </row>
    <row r="25" spans="2:25" x14ac:dyDescent="0.25">
      <c r="B25" s="158"/>
      <c r="C25" s="240" t="s">
        <v>48</v>
      </c>
      <c r="D25" s="243"/>
      <c r="E25" s="168"/>
      <c r="F25" s="128">
        <f>IF(ISBLANK(E17),G14,'Population selection'!F16)</f>
        <v>46148904.437507473</v>
      </c>
      <c r="G25" s="242"/>
      <c r="H25" s="239" t="s">
        <v>49</v>
      </c>
      <c r="I25" s="198"/>
      <c r="J25" s="198"/>
      <c r="K25" s="198"/>
      <c r="L25" s="198"/>
      <c r="M25" s="198"/>
      <c r="N25" s="198"/>
      <c r="O25" s="198"/>
      <c r="P25" s="198"/>
      <c r="Q25" s="198"/>
      <c r="R25" s="198"/>
      <c r="S25" s="198"/>
      <c r="T25" s="198"/>
      <c r="U25" s="198"/>
      <c r="V25" s="198"/>
      <c r="W25" s="198"/>
      <c r="X25" s="168"/>
    </row>
    <row r="26" spans="2:25" x14ac:dyDescent="0.25">
      <c r="B26" s="158"/>
      <c r="C26" s="660" t="s">
        <v>949</v>
      </c>
      <c r="D26" s="244"/>
      <c r="E26" s="168"/>
      <c r="F26" s="209"/>
      <c r="G26" s="128">
        <f>K47</f>
        <v>48417016.421111427</v>
      </c>
      <c r="H26" s="239" t="s">
        <v>49</v>
      </c>
      <c r="I26" s="162"/>
      <c r="J26" s="162"/>
      <c r="K26" s="162"/>
      <c r="L26" s="162"/>
      <c r="M26" s="162"/>
      <c r="N26" s="162"/>
      <c r="O26" s="162"/>
      <c r="P26" s="162"/>
      <c r="Q26" s="162"/>
      <c r="R26" s="162"/>
      <c r="S26" s="162"/>
      <c r="T26" s="162"/>
      <c r="U26" s="162"/>
      <c r="V26" s="162"/>
      <c r="W26" s="162"/>
      <c r="X26" s="163"/>
    </row>
    <row r="27" spans="2:25" x14ac:dyDescent="0.25">
      <c r="B27" s="160"/>
      <c r="C27" s="167" t="s">
        <v>1194</v>
      </c>
      <c r="D27" s="168"/>
      <c r="E27" s="754">
        <v>1.1962499999999999E-4</v>
      </c>
      <c r="F27" s="757">
        <f>E27*F25</f>
        <v>5520.5626933368312</v>
      </c>
      <c r="G27" s="757">
        <f>E27*K46*K47</f>
        <v>5791.8855893754544</v>
      </c>
      <c r="H27" s="794" t="s">
        <v>1198</v>
      </c>
      <c r="I27" s="795"/>
      <c r="J27" s="795"/>
      <c r="K27" s="795"/>
      <c r="L27" s="795"/>
      <c r="M27" s="795"/>
      <c r="N27" s="795"/>
      <c r="O27" s="795"/>
      <c r="P27" s="795"/>
      <c r="Q27" s="795"/>
      <c r="R27" s="795"/>
      <c r="S27" s="795"/>
      <c r="T27" s="795"/>
      <c r="U27" s="795"/>
      <c r="V27" s="795"/>
      <c r="W27" s="712"/>
      <c r="X27" s="712"/>
      <c r="Y27" s="160"/>
    </row>
    <row r="28" spans="2:25" x14ac:dyDescent="0.25">
      <c r="B28" s="160"/>
      <c r="C28" s="167" t="s">
        <v>1195</v>
      </c>
      <c r="D28" s="168"/>
      <c r="E28" s="754">
        <v>0.95</v>
      </c>
      <c r="F28" s="757">
        <f>E28*F27</f>
        <v>5244.5345586699896</v>
      </c>
      <c r="G28" s="757">
        <f>E28*G27</f>
        <v>5502.2913099066818</v>
      </c>
      <c r="H28" s="712" t="s">
        <v>1199</v>
      </c>
      <c r="I28" s="712"/>
      <c r="J28" s="712"/>
      <c r="K28" s="712"/>
      <c r="L28" s="712"/>
      <c r="M28" s="712"/>
      <c r="N28" s="712"/>
      <c r="O28" s="712"/>
      <c r="P28" s="712"/>
      <c r="Q28" s="712"/>
      <c r="R28" s="712"/>
      <c r="S28" s="712"/>
      <c r="T28" s="712"/>
      <c r="U28" s="712"/>
      <c r="V28" s="712"/>
      <c r="W28" s="712"/>
      <c r="X28" s="712"/>
      <c r="Y28" s="160"/>
    </row>
    <row r="29" spans="2:25" ht="30" x14ac:dyDescent="0.25">
      <c r="B29" s="160"/>
      <c r="C29" s="751" t="s">
        <v>1242</v>
      </c>
      <c r="D29" s="752"/>
      <c r="E29" s="758">
        <v>0.375</v>
      </c>
      <c r="F29" s="759">
        <f>E29*F28</f>
        <v>1966.7004595012461</v>
      </c>
      <c r="G29" s="759">
        <f>E29*G28</f>
        <v>2063.3592412150056</v>
      </c>
      <c r="H29" s="753" t="s">
        <v>1254</v>
      </c>
      <c r="I29" s="753"/>
      <c r="J29" s="753"/>
      <c r="K29" s="753"/>
      <c r="L29" s="712"/>
      <c r="M29" s="712"/>
      <c r="N29" s="712"/>
      <c r="O29" s="712"/>
      <c r="P29" s="712"/>
      <c r="Q29" s="712"/>
      <c r="R29" s="712"/>
      <c r="S29" s="712"/>
      <c r="T29" s="712"/>
      <c r="U29" s="712"/>
      <c r="V29" s="712"/>
      <c r="W29" s="712"/>
      <c r="X29" s="712"/>
      <c r="Y29" s="160"/>
    </row>
    <row r="30" spans="2:25" x14ac:dyDescent="0.25">
      <c r="B30" s="160"/>
      <c r="C30" s="751" t="s">
        <v>1245</v>
      </c>
      <c r="D30" s="752"/>
      <c r="E30" s="758">
        <v>0.625</v>
      </c>
      <c r="F30" s="759">
        <f>E30*F28</f>
        <v>3277.8340991687437</v>
      </c>
      <c r="G30" s="759">
        <f>E30*G28</f>
        <v>3438.9320686916762</v>
      </c>
      <c r="H30" s="753" t="s">
        <v>1246</v>
      </c>
      <c r="I30" s="753"/>
      <c r="J30" s="753"/>
      <c r="K30" s="753"/>
      <c r="L30" s="712"/>
      <c r="M30" s="712"/>
      <c r="N30" s="712"/>
      <c r="O30" s="712"/>
      <c r="P30" s="712"/>
      <c r="Q30" s="712"/>
      <c r="R30" s="712"/>
      <c r="S30" s="712"/>
      <c r="T30" s="712"/>
      <c r="U30" s="712"/>
      <c r="V30" s="712"/>
      <c r="W30" s="712"/>
      <c r="X30" s="712"/>
      <c r="Y30" s="160"/>
    </row>
    <row r="31" spans="2:25" x14ac:dyDescent="0.25">
      <c r="B31" s="160"/>
      <c r="C31" s="167" t="s">
        <v>1196</v>
      </c>
      <c r="D31" s="168"/>
      <c r="E31" s="754">
        <v>0.40860000000000002</v>
      </c>
      <c r="F31" s="757">
        <f>E31*F28</f>
        <v>2142.9168206725581</v>
      </c>
      <c r="G31" s="757">
        <f>E31*G28</f>
        <v>2248.2362292278704</v>
      </c>
      <c r="H31" s="712" t="s">
        <v>1254</v>
      </c>
      <c r="I31" s="712"/>
      <c r="J31" s="712"/>
      <c r="K31" s="712"/>
      <c r="L31" s="712"/>
      <c r="M31" s="712"/>
      <c r="N31" s="712"/>
      <c r="O31" s="712"/>
      <c r="P31" s="712"/>
      <c r="Q31" s="712"/>
      <c r="R31" s="712"/>
      <c r="S31" s="712"/>
      <c r="T31" s="712"/>
      <c r="U31" s="712"/>
      <c r="V31" s="712"/>
      <c r="W31" s="712"/>
      <c r="X31" s="712"/>
      <c r="Y31" s="160"/>
    </row>
    <row r="32" spans="2:25" x14ac:dyDescent="0.25">
      <c r="B32" s="160"/>
      <c r="C32" s="167" t="s">
        <v>1197</v>
      </c>
      <c r="D32" s="168"/>
      <c r="E32" s="754">
        <v>0.87870000000000004</v>
      </c>
      <c r="F32" s="757">
        <f>E32*F31</f>
        <v>1882.9810103249768</v>
      </c>
      <c r="G32" s="757">
        <f>E32*G31</f>
        <v>1975.5251746225297</v>
      </c>
      <c r="H32" s="712" t="s">
        <v>1298</v>
      </c>
      <c r="I32" s="712"/>
      <c r="J32" s="712"/>
      <c r="K32" s="712"/>
      <c r="L32" s="712"/>
      <c r="M32" s="712"/>
      <c r="N32" s="712"/>
      <c r="O32" s="712"/>
      <c r="P32" s="712"/>
      <c r="Q32" s="712"/>
      <c r="R32" s="712"/>
      <c r="S32" s="712"/>
      <c r="T32" s="712"/>
      <c r="U32" s="712"/>
      <c r="V32" s="712"/>
      <c r="W32" s="712"/>
      <c r="X32" s="712"/>
      <c r="Y32" s="160"/>
    </row>
    <row r="33" spans="2:24" x14ac:dyDescent="0.25">
      <c r="B33" s="160"/>
      <c r="C33" s="167"/>
      <c r="D33" s="168"/>
      <c r="E33" s="360"/>
      <c r="F33" s="688"/>
      <c r="G33" s="128"/>
      <c r="H33" s="791"/>
      <c r="I33" s="792"/>
      <c r="J33" s="792"/>
      <c r="K33" s="792"/>
      <c r="L33" s="792"/>
      <c r="M33" s="792"/>
      <c r="N33" s="792"/>
      <c r="O33" s="792"/>
      <c r="P33" s="792"/>
      <c r="Q33" s="792"/>
      <c r="R33" s="792"/>
      <c r="S33" s="792"/>
      <c r="T33" s="792"/>
      <c r="U33" s="792"/>
      <c r="V33" s="792"/>
      <c r="W33" s="792"/>
      <c r="X33" s="793"/>
    </row>
    <row r="34" spans="2:24" ht="33.6" customHeight="1" x14ac:dyDescent="0.25">
      <c r="B34" s="160"/>
      <c r="C34" s="228" t="s">
        <v>1243</v>
      </c>
      <c r="D34" s="168"/>
      <c r="E34" s="360"/>
      <c r="F34" s="760">
        <f>F31</f>
        <v>2142.9168206725581</v>
      </c>
      <c r="G34" s="760">
        <f>G31</f>
        <v>2248.2362292278704</v>
      </c>
      <c r="H34" s="201"/>
      <c r="I34" s="198"/>
      <c r="J34" s="198"/>
      <c r="K34" s="198"/>
      <c r="L34" s="198"/>
      <c r="M34" s="198"/>
      <c r="N34" s="198"/>
      <c r="O34" s="198"/>
      <c r="P34" s="198"/>
      <c r="Q34" s="198"/>
      <c r="R34" s="198"/>
      <c r="S34" s="198"/>
      <c r="T34" s="198"/>
      <c r="U34" s="198"/>
      <c r="V34" s="198"/>
      <c r="W34" s="198"/>
      <c r="X34" s="168"/>
    </row>
    <row r="35" spans="2:24" x14ac:dyDescent="0.25">
      <c r="B35" s="160"/>
      <c r="C35" s="228" t="s">
        <v>1244</v>
      </c>
      <c r="D35" s="168"/>
      <c r="E35" s="360"/>
      <c r="F35" s="760">
        <f>F32</f>
        <v>1882.9810103249768</v>
      </c>
      <c r="G35" s="760">
        <f>G32</f>
        <v>1975.5251746225297</v>
      </c>
      <c r="H35" s="201"/>
      <c r="I35" s="198"/>
      <c r="J35" s="198"/>
      <c r="K35" s="198"/>
      <c r="L35" s="198"/>
      <c r="M35" s="198"/>
      <c r="N35" s="198"/>
      <c r="O35" s="198"/>
      <c r="P35" s="198"/>
      <c r="Q35" s="198"/>
      <c r="R35" s="198"/>
      <c r="S35" s="198"/>
      <c r="T35" s="198"/>
      <c r="U35" s="198"/>
      <c r="V35" s="198"/>
      <c r="W35" s="198"/>
      <c r="X35" s="168"/>
    </row>
    <row r="36" spans="2:24" x14ac:dyDescent="0.25">
      <c r="B36" s="160"/>
      <c r="C36" s="368"/>
      <c r="E36" s="369"/>
      <c r="F36" s="370"/>
      <c r="G36" s="370"/>
      <c r="H36" s="191"/>
      <c r="X36" s="159"/>
    </row>
    <row r="37" spans="2:24" x14ac:dyDescent="0.25">
      <c r="B37" s="160"/>
      <c r="C37" s="368"/>
      <c r="E37" s="369"/>
      <c r="F37" s="370"/>
      <c r="G37" s="370"/>
      <c r="H37" s="191"/>
      <c r="X37" s="159"/>
    </row>
    <row r="38" spans="2:24" x14ac:dyDescent="0.25">
      <c r="B38" s="160"/>
      <c r="C38" s="368"/>
      <c r="E38" s="369"/>
      <c r="F38" s="370"/>
      <c r="G38" s="370"/>
      <c r="H38" s="191"/>
      <c r="X38" s="159"/>
    </row>
    <row r="39" spans="2:24" x14ac:dyDescent="0.25">
      <c r="B39" s="160"/>
      <c r="C39" t="s">
        <v>50</v>
      </c>
      <c r="F39" s="755" t="s">
        <v>43</v>
      </c>
      <c r="G39" s="370"/>
      <c r="H39" s="191"/>
      <c r="X39" s="159"/>
    </row>
    <row r="40" spans="2:24" x14ac:dyDescent="0.25">
      <c r="B40" s="160"/>
      <c r="C40" s="368"/>
      <c r="E40" s="369"/>
      <c r="F40" s="370"/>
      <c r="G40" s="370"/>
      <c r="H40" s="191"/>
      <c r="X40" s="159"/>
    </row>
    <row r="41" spans="2:24" x14ac:dyDescent="0.25">
      <c r="B41" s="160"/>
      <c r="C41" t="str">
        <f>"Manually entered current eligible population (Second line) "&amp;IF(F39="no","","(n/a)")</f>
        <v>Manually entered current eligible population (Second line) (n/a)</v>
      </c>
      <c r="F41" s="761"/>
      <c r="G41" s="609" t="str">
        <f>IF(F39="yes","Leave blue cell on left blank if NICE estimate is used","enter local value on left")</f>
        <v>Leave blue cell on left blank if NICE estimate is used</v>
      </c>
      <c r="X41" s="159"/>
    </row>
    <row r="42" spans="2:24" x14ac:dyDescent="0.25">
      <c r="B42" s="160"/>
      <c r="C42" t="str">
        <f>"Manually entered current eligible population (Third line) "&amp;IF(F40="no","","(n/a)")</f>
        <v>Manually entered current eligible population (Third line) (n/a)</v>
      </c>
      <c r="F42" s="761"/>
      <c r="G42" s="609" t="str">
        <f>IF(F39="yes","Leave blue cell on left blank if NICE estimate is used","enter local value on left")</f>
        <v>Leave blue cell on left blank if NICE estimate is used</v>
      </c>
      <c r="X42" s="159"/>
    </row>
    <row r="43" spans="2:24" x14ac:dyDescent="0.25">
      <c r="B43" s="160"/>
      <c r="G43" s="610" t="str">
        <f>IF(AND(F39="yes",F41&gt;0),"error, set the drop down above to be 'no'","")</f>
        <v/>
      </c>
      <c r="X43" s="159"/>
    </row>
    <row r="44" spans="2:24" ht="45" x14ac:dyDescent="0.25">
      <c r="B44" s="160"/>
      <c r="C44" s="162"/>
      <c r="F44" s="237" t="s">
        <v>45</v>
      </c>
      <c r="G44" s="165" t="s">
        <v>51</v>
      </c>
      <c r="H44" s="165" t="s">
        <v>52</v>
      </c>
      <c r="I44" s="238" t="s">
        <v>53</v>
      </c>
      <c r="J44" s="165" t="s">
        <v>54</v>
      </c>
      <c r="K44" s="165" t="s">
        <v>55</v>
      </c>
      <c r="L44" s="611"/>
      <c r="M44" s="611"/>
      <c r="N44" s="611"/>
      <c r="O44" s="611"/>
      <c r="P44" s="611"/>
      <c r="Q44" s="611"/>
      <c r="X44" s="159"/>
    </row>
    <row r="45" spans="2:24" x14ac:dyDescent="0.25">
      <c r="B45" s="160"/>
      <c r="C45" s="239" t="s">
        <v>56</v>
      </c>
      <c r="D45" s="198"/>
      <c r="E45" s="168"/>
      <c r="F45" s="209"/>
      <c r="G45" s="360">
        <f>IF(E19&lt;&gt;"",E19+100%,100%)</f>
        <v>1.0096418074639288</v>
      </c>
      <c r="H45" s="360">
        <f>IF($E$19&lt;&gt;"",G45*(100%+$E$19),100%)</f>
        <v>1.0193765793790293</v>
      </c>
      <c r="I45" s="360">
        <f>IF($E$19&lt;&gt;"",H45*(100%+$E$19),100%)</f>
        <v>1.0292052120906403</v>
      </c>
      <c r="J45" s="360">
        <f>IF($E$19&lt;&gt;"",I45*(100%+$E$19),100%)</f>
        <v>1.0391286105864903</v>
      </c>
      <c r="K45" s="360">
        <f>IF($E$19&lt;&gt;"",J45*(100%+$E$19),100%)</f>
        <v>1.0491476885800251</v>
      </c>
      <c r="L45" t="s">
        <v>57</v>
      </c>
      <c r="M45" s="607"/>
      <c r="N45" s="607"/>
      <c r="O45" s="607"/>
      <c r="P45" s="607"/>
      <c r="Q45" s="607"/>
      <c r="X45" s="159"/>
    </row>
    <row r="46" spans="2:24" x14ac:dyDescent="0.25">
      <c r="B46" s="160"/>
      <c r="C46" s="239" t="s">
        <v>58</v>
      </c>
      <c r="D46" s="198"/>
      <c r="E46" s="168"/>
      <c r="F46" s="209"/>
      <c r="G46" s="360">
        <f>IF(E20&lt;&gt;"",E20+100%,100%)</f>
        <v>1</v>
      </c>
      <c r="H46" s="360">
        <f>IF($E$20&lt;&gt;"",G46*(100%+$E$20),100%)</f>
        <v>1</v>
      </c>
      <c r="I46" s="360">
        <f>IF($E$20&lt;&gt;"",H46*(100%+$E$20),100%)</f>
        <v>1</v>
      </c>
      <c r="J46" s="360">
        <f>IF($E$20&lt;&gt;"",I46*(100%+$E$20),100%)</f>
        <v>1</v>
      </c>
      <c r="K46" s="360">
        <f>IF($E$20&lt;&gt;"",J46*(100%+$E$20),100%)</f>
        <v>1</v>
      </c>
      <c r="L46" t="s">
        <v>57</v>
      </c>
      <c r="M46" s="607"/>
      <c r="N46" s="607"/>
      <c r="O46" s="607"/>
      <c r="P46" s="607"/>
      <c r="Q46" s="607"/>
      <c r="X46" s="159"/>
    </row>
    <row r="47" spans="2:24" x14ac:dyDescent="0.25">
      <c r="B47" s="160"/>
      <c r="C47" s="414" t="str">
        <f>IF('Inputs and eligible population'!E17=0,"Baseline population (inflated by growth(s))","Manually entered locality population (inflated by growth(s))")</f>
        <v>Baseline population (inflated by growth(s))</v>
      </c>
      <c r="D47" s="198"/>
      <c r="E47" s="168"/>
      <c r="F47" s="128">
        <f>IF(ISBLANK(E17),G14,'Population selection'!F16)</f>
        <v>46148904.437507473</v>
      </c>
      <c r="G47" s="128">
        <f>F47*G45</f>
        <v>46593863.28876517</v>
      </c>
      <c r="H47" s="128">
        <f>F47*H45</f>
        <v>47043112.347596072</v>
      </c>
      <c r="I47" s="128">
        <f>F47*I45</f>
        <v>47496692.979355574</v>
      </c>
      <c r="J47" s="128">
        <f>F47*J45</f>
        <v>47954646.948235855</v>
      </c>
      <c r="K47" s="128">
        <f>F47*K45</f>
        <v>48417016.421111427</v>
      </c>
      <c r="M47" s="292"/>
      <c r="N47" s="292"/>
      <c r="O47" s="292"/>
      <c r="P47" s="292"/>
      <c r="Q47" s="292"/>
      <c r="X47" s="159"/>
    </row>
    <row r="48" spans="2:24" x14ac:dyDescent="0.25">
      <c r="B48" s="160"/>
      <c r="C48" s="228" t="str">
        <f>IF(ISBLANK(F40),"NICE estimate (Second Line)","Eligible population, local estimate")</f>
        <v>NICE estimate (Second Line)</v>
      </c>
      <c r="D48" s="198"/>
      <c r="E48" s="168"/>
      <c r="F48" s="182">
        <f>IF(ISBLANK(F41),F34,F41)</f>
        <v>2142.9168206725581</v>
      </c>
      <c r="G48" s="182">
        <f>$F$48*G45*G46</f>
        <v>2163.5784120686976</v>
      </c>
      <c r="H48" s="182">
        <f t="shared" ref="H48:K48" si="0">$F$48*H45*H46</f>
        <v>2184.4392185509769</v>
      </c>
      <c r="I48" s="182">
        <f t="shared" si="0"/>
        <v>2205.5011609129006</v>
      </c>
      <c r="J48" s="182">
        <f t="shared" si="0"/>
        <v>2226.7661784678944</v>
      </c>
      <c r="K48" s="182">
        <f t="shared" si="0"/>
        <v>2248.2362292278704</v>
      </c>
      <c r="M48" s="292"/>
      <c r="N48" s="292"/>
      <c r="O48" s="292"/>
      <c r="P48" s="292"/>
      <c r="Q48" s="292"/>
      <c r="X48" s="159"/>
    </row>
    <row r="49" spans="2:24" x14ac:dyDescent="0.25">
      <c r="B49" s="160"/>
      <c r="C49" s="228" t="str">
        <f>IF(ISBLANK(F41),"NICE estimate (Third Line)","Eligible population, local estimate")</f>
        <v>NICE estimate (Third Line)</v>
      </c>
      <c r="D49" s="198"/>
      <c r="E49" s="168"/>
      <c r="F49" s="182">
        <f>IF(ISBLANK(F42),F35,F42)</f>
        <v>1882.9810103249768</v>
      </c>
      <c r="G49" s="182">
        <f>$F$49*G45*G46</f>
        <v>1901.1363506847645</v>
      </c>
      <c r="H49" s="182">
        <f t="shared" ref="H49:K49" si="1">$F$49*H45*H46</f>
        <v>1919.4667413407433</v>
      </c>
      <c r="I49" s="182">
        <f t="shared" si="1"/>
        <v>1937.9738700941659</v>
      </c>
      <c r="J49" s="182">
        <f t="shared" si="1"/>
        <v>1956.6594410197388</v>
      </c>
      <c r="K49" s="182">
        <f t="shared" si="1"/>
        <v>1975.5251746225297</v>
      </c>
      <c r="L49" s="170" t="str">
        <f>IF(F39="no","local estimate used","")</f>
        <v/>
      </c>
      <c r="M49" s="370"/>
      <c r="N49" s="370"/>
      <c r="O49" s="370"/>
      <c r="P49" s="370"/>
      <c r="Q49" s="370"/>
      <c r="X49" s="159"/>
    </row>
    <row r="50" spans="2:24" x14ac:dyDescent="0.25">
      <c r="B50" s="161"/>
      <c r="C50" s="162"/>
      <c r="D50" s="162"/>
      <c r="E50" s="162"/>
      <c r="F50" s="162"/>
      <c r="G50" s="162"/>
      <c r="H50" s="162"/>
      <c r="I50" s="162"/>
      <c r="J50" s="162"/>
      <c r="K50" s="162"/>
      <c r="L50" s="162"/>
      <c r="M50" s="162"/>
      <c r="N50" s="162"/>
      <c r="O50" s="162"/>
      <c r="P50" s="162"/>
      <c r="Q50" s="162"/>
      <c r="R50" s="162"/>
      <c r="S50" s="162"/>
      <c r="T50" s="162"/>
      <c r="U50" s="162"/>
      <c r="V50" s="162"/>
      <c r="W50" s="162"/>
      <c r="X50" s="163"/>
    </row>
    <row r="53" spans="2:24" x14ac:dyDescent="0.25">
      <c r="B53" s="713" t="s">
        <v>59</v>
      </c>
      <c r="C53" s="337"/>
      <c r="D53" s="337"/>
      <c r="E53" s="337"/>
      <c r="F53" s="337"/>
      <c r="G53" s="337"/>
      <c r="H53" s="337"/>
      <c r="I53" s="337"/>
      <c r="J53" s="337"/>
      <c r="K53" s="337"/>
      <c r="L53" s="337"/>
      <c r="M53" s="337"/>
      <c r="N53" s="337"/>
      <c r="O53" s="337"/>
      <c r="P53" s="337"/>
      <c r="Q53" s="337"/>
      <c r="R53" s="157"/>
    </row>
    <row r="54" spans="2:24" ht="30" x14ac:dyDescent="0.25">
      <c r="B54" s="714"/>
      <c r="C54" s="209" t="s">
        <v>61</v>
      </c>
      <c r="D54" s="214" t="s">
        <v>62</v>
      </c>
      <c r="E54" s="210"/>
      <c r="F54" s="210"/>
      <c r="G54" s="210"/>
      <c r="H54" s="211"/>
      <c r="I54" s="212" t="s">
        <v>63</v>
      </c>
      <c r="J54" s="165" t="s">
        <v>64</v>
      </c>
      <c r="K54" s="212" t="s">
        <v>65</v>
      </c>
      <c r="R54" s="159"/>
    </row>
    <row r="55" spans="2:24" x14ac:dyDescent="0.25">
      <c r="B55" s="714"/>
      <c r="C55" s="356" t="s">
        <v>1038</v>
      </c>
      <c r="D55" s="201" t="s">
        <v>1289</v>
      </c>
      <c r="E55" s="202"/>
      <c r="F55" s="202"/>
      <c r="G55" s="202"/>
      <c r="H55" s="198"/>
      <c r="I55" s="762"/>
      <c r="J55" s="763">
        <v>0.2</v>
      </c>
      <c r="K55" s="362" t="s">
        <v>1200</v>
      </c>
      <c r="L55" s="608"/>
      <c r="M55" s="608"/>
      <c r="N55" s="608"/>
      <c r="O55" s="608"/>
      <c r="R55" s="159"/>
    </row>
    <row r="56" spans="2:24" x14ac:dyDescent="0.25">
      <c r="B56" s="160"/>
      <c r="C56" s="356" t="s">
        <v>1042</v>
      </c>
      <c r="D56" s="201" t="s">
        <v>1201</v>
      </c>
      <c r="E56" s="202"/>
      <c r="F56" s="202"/>
      <c r="G56" s="202"/>
      <c r="H56" s="198"/>
      <c r="I56" s="762"/>
      <c r="J56" s="763">
        <v>0.2</v>
      </c>
      <c r="K56" s="362" t="s">
        <v>1202</v>
      </c>
      <c r="L56" s="608"/>
      <c r="M56" s="608"/>
      <c r="N56" s="608"/>
      <c r="O56" s="608"/>
      <c r="R56" s="159"/>
    </row>
    <row r="57" spans="2:24" x14ac:dyDescent="0.25">
      <c r="B57" s="160"/>
      <c r="C57" s="356" t="s">
        <v>1046</v>
      </c>
      <c r="D57" s="201" t="s">
        <v>1203</v>
      </c>
      <c r="E57" s="202"/>
      <c r="F57" s="202"/>
      <c r="G57" s="202"/>
      <c r="H57" s="198"/>
      <c r="I57" s="762"/>
      <c r="J57" s="763">
        <v>0.2</v>
      </c>
      <c r="K57" s="362" t="s">
        <v>1202</v>
      </c>
      <c r="L57" s="608"/>
      <c r="M57" s="608"/>
      <c r="N57" s="608"/>
      <c r="O57" s="608"/>
      <c r="R57" s="159"/>
    </row>
    <row r="58" spans="2:24" x14ac:dyDescent="0.25">
      <c r="B58" s="160"/>
      <c r="C58" s="356" t="s">
        <v>1050</v>
      </c>
      <c r="D58" s="201" t="s">
        <v>1204</v>
      </c>
      <c r="E58" s="202"/>
      <c r="F58" s="202"/>
      <c r="G58" s="202"/>
      <c r="H58" s="198"/>
      <c r="I58" s="762"/>
      <c r="J58" s="763">
        <v>0.2</v>
      </c>
      <c r="K58" s="362" t="s">
        <v>1200</v>
      </c>
      <c r="L58" s="608"/>
      <c r="M58" s="608"/>
      <c r="N58" s="608"/>
      <c r="O58" s="608"/>
      <c r="R58" s="159"/>
    </row>
    <row r="59" spans="2:24" x14ac:dyDescent="0.25">
      <c r="B59" s="160"/>
      <c r="C59" s="356" t="s">
        <v>1054</v>
      </c>
      <c r="D59" s="201" t="s">
        <v>1205</v>
      </c>
      <c r="E59" s="202"/>
      <c r="F59" s="202"/>
      <c r="G59" s="202"/>
      <c r="H59" s="198"/>
      <c r="I59" s="762"/>
      <c r="J59" s="763">
        <v>0.2</v>
      </c>
      <c r="K59" s="362" t="s">
        <v>1200</v>
      </c>
      <c r="L59" s="608"/>
      <c r="M59" s="608"/>
      <c r="N59" s="608"/>
      <c r="O59" s="608"/>
      <c r="R59" s="159"/>
    </row>
    <row r="60" spans="2:24" x14ac:dyDescent="0.25">
      <c r="B60" s="160"/>
      <c r="C60" s="356" t="s">
        <v>1206</v>
      </c>
      <c r="D60" s="201" t="s">
        <v>1207</v>
      </c>
      <c r="E60" s="202"/>
      <c r="F60" s="202"/>
      <c r="G60" s="202"/>
      <c r="H60" s="198"/>
      <c r="I60" s="762"/>
      <c r="J60" s="763">
        <v>0.2</v>
      </c>
      <c r="K60" s="362" t="s">
        <v>1200</v>
      </c>
      <c r="L60" s="608"/>
      <c r="M60" s="608"/>
      <c r="N60" s="608"/>
      <c r="O60" s="608"/>
      <c r="R60" s="159"/>
    </row>
    <row r="61" spans="2:24" x14ac:dyDescent="0.25">
      <c r="B61" s="714"/>
      <c r="C61" s="356" t="s">
        <v>1073</v>
      </c>
      <c r="D61" s="201" t="s">
        <v>1208</v>
      </c>
      <c r="E61" s="202"/>
      <c r="F61" s="202"/>
      <c r="G61" s="202"/>
      <c r="H61" s="198"/>
      <c r="I61" s="762"/>
      <c r="J61" s="763">
        <v>0.2</v>
      </c>
      <c r="K61" s="362" t="s">
        <v>1200</v>
      </c>
      <c r="L61" s="608"/>
      <c r="M61" s="608"/>
      <c r="N61" s="608"/>
      <c r="O61" s="608"/>
      <c r="R61" s="159"/>
    </row>
    <row r="62" spans="2:24" x14ac:dyDescent="0.25">
      <c r="B62" s="714"/>
      <c r="C62" s="356" t="s">
        <v>1209</v>
      </c>
      <c r="D62" s="201" t="s">
        <v>1210</v>
      </c>
      <c r="E62" s="202"/>
      <c r="F62" s="202"/>
      <c r="G62" s="202"/>
      <c r="H62" s="198"/>
      <c r="I62" s="762"/>
      <c r="J62" s="763">
        <v>0.2</v>
      </c>
      <c r="K62" s="362" t="s">
        <v>1200</v>
      </c>
      <c r="L62" s="608"/>
      <c r="M62" s="608"/>
      <c r="N62" s="608"/>
      <c r="O62" s="608"/>
      <c r="R62" s="159"/>
    </row>
    <row r="63" spans="2:24" x14ac:dyDescent="0.25">
      <c r="B63" s="160"/>
      <c r="C63" s="195" t="s">
        <v>1076</v>
      </c>
      <c r="D63" s="152"/>
      <c r="E63" s="152"/>
      <c r="F63" s="152"/>
      <c r="G63" s="152"/>
      <c r="R63" s="159"/>
    </row>
    <row r="64" spans="2:24" x14ac:dyDescent="0.25">
      <c r="B64" s="160"/>
      <c r="D64" s="152"/>
      <c r="E64" s="152"/>
      <c r="F64" s="152"/>
      <c r="G64" s="152"/>
      <c r="R64" s="159"/>
    </row>
    <row r="65" spans="2:18" x14ac:dyDescent="0.25">
      <c r="B65" s="160"/>
      <c r="C65" s="200" t="s">
        <v>66</v>
      </c>
      <c r="D65" s="715">
        <v>78</v>
      </c>
      <c r="E65" s="201"/>
      <c r="F65" s="202"/>
      <c r="G65" s="202"/>
      <c r="H65" s="168"/>
      <c r="R65" s="159"/>
    </row>
    <row r="66" spans="2:18" ht="17.25" x14ac:dyDescent="0.25">
      <c r="B66" s="160"/>
      <c r="C66" s="200" t="s">
        <v>67</v>
      </c>
      <c r="D66" s="716">
        <v>1.79</v>
      </c>
      <c r="E66" s="201"/>
      <c r="F66" s="202"/>
      <c r="G66" s="202"/>
      <c r="H66" s="168"/>
      <c r="R66" s="159"/>
    </row>
    <row r="67" spans="2:18" x14ac:dyDescent="0.25">
      <c r="B67" s="160"/>
      <c r="R67" s="159"/>
    </row>
    <row r="68" spans="2:18" x14ac:dyDescent="0.25">
      <c r="B68" s="160"/>
      <c r="C68" s="148" t="s">
        <v>1211</v>
      </c>
      <c r="R68" s="159"/>
    </row>
    <row r="69" spans="2:18" x14ac:dyDescent="0.25">
      <c r="B69" s="160"/>
      <c r="D69" s="375" t="s">
        <v>68</v>
      </c>
      <c r="E69" s="213" t="s">
        <v>69</v>
      </c>
      <c r="F69" s="213" t="s">
        <v>70</v>
      </c>
      <c r="G69" s="213" t="s">
        <v>71</v>
      </c>
      <c r="H69" s="213" t="s">
        <v>72</v>
      </c>
      <c r="I69" s="212" t="s">
        <v>73</v>
      </c>
      <c r="J69" s="212" t="s">
        <v>74</v>
      </c>
      <c r="L69" s="212" t="s">
        <v>69</v>
      </c>
      <c r="M69" s="732" t="s">
        <v>70</v>
      </c>
      <c r="N69" s="213" t="s">
        <v>71</v>
      </c>
      <c r="O69" s="213" t="s">
        <v>72</v>
      </c>
      <c r="P69" s="212" t="s">
        <v>73</v>
      </c>
      <c r="Q69" s="212" t="s">
        <v>74</v>
      </c>
      <c r="R69" s="159"/>
    </row>
    <row r="70" spans="2:18" ht="44.25" customHeight="1" x14ac:dyDescent="0.25">
      <c r="B70" s="160"/>
      <c r="C70" s="798" t="s">
        <v>1272</v>
      </c>
      <c r="D70" s="799"/>
      <c r="E70" s="717">
        <v>0</v>
      </c>
      <c r="F70" s="718">
        <f>(F29*0.06)/F48</f>
        <v>5.5066079295154176E-2</v>
      </c>
      <c r="G70" s="718">
        <v>0.12</v>
      </c>
      <c r="H70" s="718">
        <v>0.18</v>
      </c>
      <c r="I70" s="718">
        <v>0.24</v>
      </c>
      <c r="J70" s="718">
        <v>0.24</v>
      </c>
      <c r="L70" s="764">
        <f>F48*E70</f>
        <v>0</v>
      </c>
      <c r="M70" s="764">
        <f t="shared" ref="M70:P70" si="2">G48*F70</f>
        <v>119.13978040025866</v>
      </c>
      <c r="N70" s="764">
        <f t="shared" si="2"/>
        <v>262.13270622611719</v>
      </c>
      <c r="O70" s="764">
        <f t="shared" si="2"/>
        <v>396.99020896432211</v>
      </c>
      <c r="P70" s="764">
        <f t="shared" si="2"/>
        <v>534.42388283229468</v>
      </c>
      <c r="Q70" s="764">
        <f>K48*J70</f>
        <v>539.57669501468888</v>
      </c>
      <c r="R70" s="159"/>
    </row>
    <row r="71" spans="2:18" ht="32.450000000000003" customHeight="1" x14ac:dyDescent="0.25">
      <c r="B71" s="160"/>
      <c r="C71" s="798" t="s">
        <v>1275</v>
      </c>
      <c r="D71" s="799"/>
      <c r="E71" s="717">
        <v>0.04</v>
      </c>
      <c r="F71" s="718">
        <f>(F29*0.06)/F48</f>
        <v>5.5066079295154176E-2</v>
      </c>
      <c r="G71" s="718">
        <v>0.12</v>
      </c>
      <c r="H71" s="718">
        <v>0.18</v>
      </c>
      <c r="I71" s="718">
        <v>0.24</v>
      </c>
      <c r="J71" s="718">
        <v>0.24</v>
      </c>
      <c r="L71" s="764">
        <f t="shared" ref="L71:P71" si="3">F48*E71</f>
        <v>85.716672826902325</v>
      </c>
      <c r="M71" s="764">
        <f t="shared" si="3"/>
        <v>119.13978040025866</v>
      </c>
      <c r="N71" s="764">
        <f t="shared" si="3"/>
        <v>262.13270622611719</v>
      </c>
      <c r="O71" s="764">
        <f t="shared" si="3"/>
        <v>396.99020896432211</v>
      </c>
      <c r="P71" s="764">
        <f t="shared" si="3"/>
        <v>534.42388283229468</v>
      </c>
      <c r="Q71" s="764">
        <f>K48*J71</f>
        <v>539.57669501468888</v>
      </c>
      <c r="R71" s="159"/>
    </row>
    <row r="72" spans="2:18" x14ac:dyDescent="0.25">
      <c r="B72" s="160"/>
      <c r="C72" s="191"/>
      <c r="D72" s="363" t="s">
        <v>1248</v>
      </c>
      <c r="E72" s="717">
        <v>0.19500000000000001</v>
      </c>
      <c r="F72" s="718">
        <v>0.18</v>
      </c>
      <c r="G72" s="718">
        <v>0.16</v>
      </c>
      <c r="H72" s="718">
        <v>0.14000000000000001</v>
      </c>
      <c r="I72" s="718">
        <v>0.12</v>
      </c>
      <c r="J72" s="718">
        <v>0.12</v>
      </c>
      <c r="L72" s="764">
        <f>F48*E72</f>
        <v>417.86878003114884</v>
      </c>
      <c r="M72" s="764">
        <f t="shared" ref="M72:P72" si="4">G48*F72</f>
        <v>389.44411417236557</v>
      </c>
      <c r="N72" s="764">
        <f t="shared" si="4"/>
        <v>349.5102749681563</v>
      </c>
      <c r="O72" s="764">
        <f t="shared" si="4"/>
        <v>308.77016252780612</v>
      </c>
      <c r="P72" s="764">
        <f t="shared" si="4"/>
        <v>267.21194141614734</v>
      </c>
      <c r="Q72" s="764">
        <f>K48*J72</f>
        <v>269.78834750734444</v>
      </c>
      <c r="R72" s="159"/>
    </row>
    <row r="73" spans="2:18" x14ac:dyDescent="0.25">
      <c r="B73" s="160"/>
      <c r="C73" s="191"/>
      <c r="D73" s="363" t="s">
        <v>1259</v>
      </c>
      <c r="E73" s="717">
        <v>0.19</v>
      </c>
      <c r="F73" s="718">
        <v>0.18</v>
      </c>
      <c r="G73" s="718">
        <v>0.16</v>
      </c>
      <c r="H73" s="718">
        <v>0.14000000000000001</v>
      </c>
      <c r="I73" s="718">
        <v>0.12</v>
      </c>
      <c r="J73" s="718">
        <v>0.12</v>
      </c>
      <c r="L73" s="764">
        <f>F48*E73</f>
        <v>407.15419592778602</v>
      </c>
      <c r="M73" s="764">
        <f t="shared" ref="M73:P73" si="5">G48*F73</f>
        <v>389.44411417236557</v>
      </c>
      <c r="N73" s="764">
        <f t="shared" si="5"/>
        <v>349.5102749681563</v>
      </c>
      <c r="O73" s="764">
        <f t="shared" si="5"/>
        <v>308.77016252780612</v>
      </c>
      <c r="P73" s="764">
        <f t="shared" si="5"/>
        <v>267.21194141614734</v>
      </c>
      <c r="Q73" s="764">
        <f>K48*J73</f>
        <v>269.78834750734444</v>
      </c>
      <c r="R73" s="159"/>
    </row>
    <row r="74" spans="2:18" x14ac:dyDescent="0.25">
      <c r="B74" s="160"/>
      <c r="C74" s="191"/>
      <c r="D74" s="363" t="s">
        <v>1250</v>
      </c>
      <c r="E74" s="717">
        <v>0.57499999999999996</v>
      </c>
      <c r="F74" s="718">
        <v>0.53</v>
      </c>
      <c r="G74" s="718">
        <v>0.44</v>
      </c>
      <c r="H74" s="718">
        <v>0.36</v>
      </c>
      <c r="I74" s="718">
        <v>0.28000000000000003</v>
      </c>
      <c r="J74" s="718">
        <v>0.28000000000000003</v>
      </c>
      <c r="L74" s="764">
        <f t="shared" ref="L74:P74" si="6">F48*E74</f>
        <v>1232.1771718867208</v>
      </c>
      <c r="M74" s="764">
        <f t="shared" si="6"/>
        <v>1146.6965583964097</v>
      </c>
      <c r="N74" s="764">
        <f t="shared" si="6"/>
        <v>961.15325616242978</v>
      </c>
      <c r="O74" s="764">
        <f t="shared" si="6"/>
        <v>793.98041792864421</v>
      </c>
      <c r="P74" s="764">
        <f t="shared" si="6"/>
        <v>623.49452997101048</v>
      </c>
      <c r="Q74" s="764">
        <f>K48*J74</f>
        <v>629.50614418380371</v>
      </c>
      <c r="R74" s="159"/>
    </row>
    <row r="75" spans="2:18" x14ac:dyDescent="0.25">
      <c r="B75" s="160"/>
      <c r="E75" s="151">
        <f t="shared" ref="E75:J75" si="7">SUM(E70:E74)</f>
        <v>1</v>
      </c>
      <c r="F75" s="151">
        <f t="shared" si="7"/>
        <v>1.0001321585903082</v>
      </c>
      <c r="G75" s="151">
        <f t="shared" si="7"/>
        <v>1</v>
      </c>
      <c r="H75" s="151">
        <f t="shared" si="7"/>
        <v>1</v>
      </c>
      <c r="I75" s="151">
        <f t="shared" si="7"/>
        <v>1</v>
      </c>
      <c r="J75" s="151">
        <f t="shared" si="7"/>
        <v>1</v>
      </c>
      <c r="L75" s="361">
        <f t="shared" ref="L75:Q75" si="8">SUM(L70:L74)</f>
        <v>2142.9168206725581</v>
      </c>
      <c r="M75" s="361">
        <f t="shared" si="8"/>
        <v>2163.8643475416584</v>
      </c>
      <c r="N75" s="361">
        <f t="shared" si="8"/>
        <v>2184.4392185509769</v>
      </c>
      <c r="O75" s="361">
        <f t="shared" si="8"/>
        <v>2205.5011609129006</v>
      </c>
      <c r="P75" s="361">
        <f t="shared" si="8"/>
        <v>2226.7661784678944</v>
      </c>
      <c r="Q75" s="361">
        <f t="shared" si="8"/>
        <v>2248.2362292278704</v>
      </c>
      <c r="R75" s="159"/>
    </row>
    <row r="76" spans="2:18" x14ac:dyDescent="0.25">
      <c r="B76" s="160"/>
      <c r="E76" s="365"/>
      <c r="F76" s="365"/>
      <c r="G76" s="365"/>
      <c r="H76" s="365"/>
      <c r="I76" s="365"/>
      <c r="J76" s="365"/>
      <c r="R76" s="159"/>
    </row>
    <row r="77" spans="2:18" x14ac:dyDescent="0.25">
      <c r="B77" s="160"/>
      <c r="C77" s="148" t="s">
        <v>1212</v>
      </c>
      <c r="R77" s="159"/>
    </row>
    <row r="78" spans="2:18" x14ac:dyDescent="0.25">
      <c r="B78" s="160"/>
      <c r="D78" s="375" t="s">
        <v>68</v>
      </c>
      <c r="E78" s="213" t="s">
        <v>69</v>
      </c>
      <c r="F78" s="213" t="s">
        <v>70</v>
      </c>
      <c r="G78" s="213" t="s">
        <v>71</v>
      </c>
      <c r="H78" s="213" t="s">
        <v>72</v>
      </c>
      <c r="I78" s="212" t="s">
        <v>73</v>
      </c>
      <c r="J78" s="212" t="s">
        <v>74</v>
      </c>
      <c r="L78" s="212" t="s">
        <v>69</v>
      </c>
      <c r="M78" s="732" t="s">
        <v>70</v>
      </c>
      <c r="N78" s="213" t="s">
        <v>71</v>
      </c>
      <c r="O78" s="213" t="s">
        <v>72</v>
      </c>
      <c r="P78" s="212" t="s">
        <v>73</v>
      </c>
      <c r="Q78" s="212" t="s">
        <v>74</v>
      </c>
      <c r="R78" s="159"/>
    </row>
    <row r="79" spans="2:18" ht="30.95" customHeight="1" x14ac:dyDescent="0.25">
      <c r="B79" s="160"/>
      <c r="C79" s="798" t="s">
        <v>1274</v>
      </c>
      <c r="D79" s="799"/>
      <c r="E79" s="717">
        <v>0</v>
      </c>
      <c r="F79" s="718">
        <v>0.16</v>
      </c>
      <c r="G79" s="718">
        <v>0.33</v>
      </c>
      <c r="H79" s="718">
        <v>0.33</v>
      </c>
      <c r="I79" s="718">
        <v>0.33</v>
      </c>
      <c r="J79" s="718">
        <v>0.33</v>
      </c>
      <c r="L79" s="764">
        <f t="shared" ref="L79:Q79" si="9">F49*E79</f>
        <v>0</v>
      </c>
      <c r="M79" s="764">
        <f t="shared" si="9"/>
        <v>304.18181610956231</v>
      </c>
      <c r="N79" s="764">
        <f>H49*G79</f>
        <v>633.42402464244526</v>
      </c>
      <c r="O79" s="764">
        <f t="shared" si="9"/>
        <v>639.53137713107481</v>
      </c>
      <c r="P79" s="764">
        <f t="shared" si="9"/>
        <v>645.69761553651381</v>
      </c>
      <c r="Q79" s="764">
        <f t="shared" si="9"/>
        <v>651.92330762543486</v>
      </c>
      <c r="R79" s="159"/>
    </row>
    <row r="80" spans="2:18" ht="30" customHeight="1" x14ac:dyDescent="0.25">
      <c r="B80" s="160"/>
      <c r="C80" s="798" t="s">
        <v>1273</v>
      </c>
      <c r="D80" s="799"/>
      <c r="E80" s="717">
        <v>0.64500000000000002</v>
      </c>
      <c r="F80" s="718">
        <v>0.48</v>
      </c>
      <c r="G80" s="718">
        <v>0.31</v>
      </c>
      <c r="H80" s="718">
        <v>0.31</v>
      </c>
      <c r="I80" s="718">
        <v>0.31</v>
      </c>
      <c r="J80" s="718">
        <v>0.31</v>
      </c>
      <c r="L80" s="764">
        <f t="shared" ref="L80:Q80" si="10">F49*E80</f>
        <v>1214.5227516596101</v>
      </c>
      <c r="M80" s="764">
        <f t="shared" si="10"/>
        <v>912.54544832868692</v>
      </c>
      <c r="N80" s="764">
        <f t="shared" si="10"/>
        <v>595.03468981563037</v>
      </c>
      <c r="O80" s="764">
        <f t="shared" si="10"/>
        <v>600.77189972919143</v>
      </c>
      <c r="P80" s="764">
        <f t="shared" si="10"/>
        <v>606.56442671611899</v>
      </c>
      <c r="Q80" s="764">
        <f t="shared" si="10"/>
        <v>612.41280413298421</v>
      </c>
      <c r="R80" s="159"/>
    </row>
    <row r="81" spans="2:18" x14ac:dyDescent="0.25">
      <c r="B81" s="160"/>
      <c r="D81" s="363" t="s">
        <v>1248</v>
      </c>
      <c r="E81" s="717">
        <v>6.5000000000000002E-2</v>
      </c>
      <c r="F81" s="718">
        <v>7.0000000000000007E-2</v>
      </c>
      <c r="G81" s="718">
        <v>7.0000000000000007E-2</v>
      </c>
      <c r="H81" s="718">
        <v>7.0000000000000007E-2</v>
      </c>
      <c r="I81" s="718">
        <v>7.0000000000000007E-2</v>
      </c>
      <c r="J81" s="718">
        <v>7.0000000000000007E-2</v>
      </c>
      <c r="K81" s="599"/>
      <c r="L81" s="764">
        <f t="shared" ref="L81:Q81" si="11">F49*E81</f>
        <v>122.39376567112349</v>
      </c>
      <c r="M81" s="764">
        <f t="shared" si="11"/>
        <v>133.07954454793352</v>
      </c>
      <c r="N81" s="764">
        <f>H49*G81</f>
        <v>134.36267189385205</v>
      </c>
      <c r="O81" s="764">
        <f t="shared" si="11"/>
        <v>135.65817090659164</v>
      </c>
      <c r="P81" s="764">
        <f t="shared" si="11"/>
        <v>136.96616087138173</v>
      </c>
      <c r="Q81" s="764">
        <f t="shared" si="11"/>
        <v>138.28676222357709</v>
      </c>
      <c r="R81" s="159"/>
    </row>
    <row r="82" spans="2:18" ht="15" customHeight="1" x14ac:dyDescent="0.25">
      <c r="B82" s="160"/>
      <c r="D82" s="363" t="s">
        <v>1251</v>
      </c>
      <c r="E82" s="717">
        <v>0.28999999999999998</v>
      </c>
      <c r="F82" s="718">
        <v>0.28999999999999998</v>
      </c>
      <c r="G82" s="718">
        <v>0.28999999999999998</v>
      </c>
      <c r="H82" s="718">
        <v>0.28999999999999998</v>
      </c>
      <c r="I82" s="718">
        <v>0.28999999999999998</v>
      </c>
      <c r="J82" s="718">
        <v>0.28999999999999998</v>
      </c>
      <c r="L82" s="764">
        <f t="shared" ref="L82:P82" si="12">F49*E82</f>
        <v>546.06449299424321</v>
      </c>
      <c r="M82" s="764">
        <f t="shared" si="12"/>
        <v>551.32954169858169</v>
      </c>
      <c r="N82" s="764">
        <f t="shared" si="12"/>
        <v>556.64535498881548</v>
      </c>
      <c r="O82" s="764">
        <f t="shared" si="12"/>
        <v>562.01242232730806</v>
      </c>
      <c r="P82" s="764">
        <f t="shared" si="12"/>
        <v>567.43123789572417</v>
      </c>
      <c r="Q82" s="764">
        <f>K49*J82</f>
        <v>572.90230064053355</v>
      </c>
      <c r="R82" s="159"/>
    </row>
    <row r="83" spans="2:18" x14ac:dyDescent="0.25">
      <c r="B83" s="160"/>
      <c r="E83" s="151">
        <f t="shared" ref="E83:J83" si="13">SUM(E79:E82)</f>
        <v>1</v>
      </c>
      <c r="F83" s="151">
        <f t="shared" si="13"/>
        <v>1</v>
      </c>
      <c r="G83" s="151">
        <f t="shared" si="13"/>
        <v>1</v>
      </c>
      <c r="H83" s="151">
        <f t="shared" si="13"/>
        <v>1</v>
      </c>
      <c r="I83" s="151">
        <f t="shared" si="13"/>
        <v>1</v>
      </c>
      <c r="J83" s="151">
        <f t="shared" si="13"/>
        <v>1</v>
      </c>
      <c r="L83" s="361">
        <f t="shared" ref="L83:Q83" si="14">SUM(L79:L82)</f>
        <v>1882.9810103249768</v>
      </c>
      <c r="M83" s="361">
        <f t="shared" si="14"/>
        <v>1901.1363506847642</v>
      </c>
      <c r="N83" s="361">
        <f t="shared" si="14"/>
        <v>1919.4667413407433</v>
      </c>
      <c r="O83" s="361">
        <f t="shared" si="14"/>
        <v>1937.9738700941659</v>
      </c>
      <c r="P83" s="361">
        <f t="shared" si="14"/>
        <v>1956.659441019739</v>
      </c>
      <c r="Q83" s="361">
        <f t="shared" si="14"/>
        <v>1975.5251746225299</v>
      </c>
      <c r="R83" s="159"/>
    </row>
    <row r="84" spans="2:18" ht="42.95" customHeight="1" x14ac:dyDescent="0.25">
      <c r="B84" s="160"/>
      <c r="C84" t="s">
        <v>1293</v>
      </c>
      <c r="E84" s="365"/>
      <c r="F84" s="365"/>
      <c r="G84" s="365"/>
      <c r="H84" s="365"/>
      <c r="I84" s="365"/>
      <c r="J84" s="365"/>
      <c r="M84" s="292"/>
      <c r="N84" s="292"/>
      <c r="O84" s="292"/>
      <c r="P84" s="292"/>
      <c r="Q84" s="292"/>
      <c r="R84" s="159"/>
    </row>
    <row r="85" spans="2:18" x14ac:dyDescent="0.25">
      <c r="B85" s="160"/>
      <c r="C85" t="s">
        <v>1213</v>
      </c>
      <c r="E85" s="729"/>
      <c r="F85" s="729"/>
      <c r="G85" s="729"/>
      <c r="H85" s="729"/>
      <c r="I85" s="729"/>
      <c r="J85" s="729"/>
      <c r="R85" s="159"/>
    </row>
    <row r="86" spans="2:18" x14ac:dyDescent="0.25">
      <c r="B86" s="160"/>
      <c r="C86" t="s">
        <v>1236</v>
      </c>
      <c r="E86" s="729"/>
      <c r="F86" s="729"/>
      <c r="G86" s="729"/>
      <c r="H86" s="729"/>
      <c r="I86" s="729"/>
      <c r="J86" s="729"/>
      <c r="R86" s="159"/>
    </row>
    <row r="87" spans="2:18" x14ac:dyDescent="0.25">
      <c r="B87" s="160"/>
      <c r="C87" t="s">
        <v>1237</v>
      </c>
      <c r="E87" s="729"/>
      <c r="F87" s="729"/>
      <c r="G87" s="729"/>
      <c r="H87" s="729"/>
      <c r="I87" s="729"/>
      <c r="J87" s="729"/>
      <c r="R87" s="159"/>
    </row>
    <row r="88" spans="2:18" x14ac:dyDescent="0.25">
      <c r="B88" s="160"/>
      <c r="C88" s="608" t="s">
        <v>1292</v>
      </c>
      <c r="R88" s="159"/>
    </row>
    <row r="89" spans="2:18" ht="15.95" customHeight="1" x14ac:dyDescent="0.25">
      <c r="B89" s="160"/>
      <c r="C89" s="750" t="s">
        <v>1238</v>
      </c>
      <c r="R89" s="159"/>
    </row>
    <row r="90" spans="2:18" ht="15.95" customHeight="1" x14ac:dyDescent="0.25">
      <c r="B90" s="161"/>
      <c r="C90" s="730" t="s">
        <v>1288</v>
      </c>
      <c r="D90" s="162"/>
      <c r="E90" s="162"/>
      <c r="F90" s="162"/>
      <c r="G90" s="162"/>
      <c r="H90" s="162"/>
      <c r="I90" s="162"/>
      <c r="J90" s="162"/>
      <c r="K90" s="162"/>
      <c r="L90" s="162"/>
      <c r="M90" s="162"/>
      <c r="N90" s="162"/>
      <c r="O90" s="162"/>
      <c r="P90" s="162"/>
      <c r="Q90" s="162"/>
      <c r="R90" s="163"/>
    </row>
    <row r="91" spans="2:18" x14ac:dyDescent="0.25">
      <c r="B91" s="337"/>
    </row>
    <row r="92" spans="2:18" x14ac:dyDescent="0.25">
      <c r="B92" s="162"/>
      <c r="D92" s="162"/>
      <c r="E92" s="162"/>
      <c r="F92" s="162"/>
      <c r="G92" s="162"/>
      <c r="H92" s="162"/>
      <c r="I92" s="162"/>
      <c r="J92" s="162"/>
      <c r="K92" s="162"/>
      <c r="L92" s="162"/>
      <c r="M92" s="162"/>
      <c r="N92" s="162"/>
      <c r="O92" s="162"/>
    </row>
    <row r="93" spans="2:18" x14ac:dyDescent="0.25">
      <c r="B93" s="156" t="s">
        <v>75</v>
      </c>
      <c r="C93" s="337"/>
      <c r="P93" s="337"/>
      <c r="Q93" s="337"/>
      <c r="R93" s="157"/>
    </row>
    <row r="94" spans="2:18" x14ac:dyDescent="0.25">
      <c r="B94" s="160" t="s">
        <v>76</v>
      </c>
      <c r="R94" s="159"/>
    </row>
    <row r="95" spans="2:18" x14ac:dyDescent="0.25">
      <c r="B95" s="160" t="s">
        <v>77</v>
      </c>
      <c r="R95" s="159"/>
    </row>
    <row r="96" spans="2:18" x14ac:dyDescent="0.25">
      <c r="B96" s="160"/>
      <c r="C96" s="363"/>
      <c r="D96" s="215"/>
      <c r="E96" s="215"/>
      <c r="F96" s="796"/>
      <c r="G96" s="797"/>
      <c r="H96" s="797"/>
      <c r="I96" s="797"/>
      <c r="R96" s="159"/>
    </row>
    <row r="97" spans="2:18" ht="120" x14ac:dyDescent="0.25">
      <c r="B97" s="160"/>
      <c r="C97" s="423" t="s">
        <v>78</v>
      </c>
      <c r="D97" s="423" t="s">
        <v>79</v>
      </c>
      <c r="E97" s="423" t="s">
        <v>80</v>
      </c>
      <c r="F97" s="423" t="s">
        <v>1101</v>
      </c>
      <c r="G97" s="423" t="s">
        <v>1104</v>
      </c>
      <c r="H97" s="423" t="s">
        <v>1102</v>
      </c>
      <c r="I97" s="423" t="s">
        <v>1103</v>
      </c>
      <c r="J97" s="423" t="s">
        <v>1105</v>
      </c>
      <c r="K97" s="423" t="s">
        <v>1101</v>
      </c>
      <c r="L97" s="423" t="s">
        <v>1125</v>
      </c>
      <c r="M97" s="423" t="s">
        <v>1102</v>
      </c>
      <c r="N97" s="423" t="s">
        <v>1124</v>
      </c>
      <c r="P97" s="423" t="s">
        <v>81</v>
      </c>
      <c r="Q97" s="423" t="s">
        <v>82</v>
      </c>
      <c r="R97" s="159"/>
    </row>
    <row r="98" spans="2:18" ht="30" x14ac:dyDescent="0.25">
      <c r="B98" s="160"/>
      <c r="C98" s="425" t="s">
        <v>1214</v>
      </c>
      <c r="D98" s="165" t="s">
        <v>83</v>
      </c>
      <c r="E98" s="165" t="s">
        <v>1215</v>
      </c>
      <c r="F98" s="719">
        <v>1</v>
      </c>
      <c r="G98" s="719">
        <v>1</v>
      </c>
      <c r="H98" s="719">
        <v>1</v>
      </c>
      <c r="I98" s="719">
        <v>1</v>
      </c>
      <c r="J98" s="719">
        <v>1</v>
      </c>
      <c r="K98" s="719">
        <v>1</v>
      </c>
      <c r="L98" s="719">
        <v>1</v>
      </c>
      <c r="M98" s="719">
        <v>1</v>
      </c>
      <c r="N98" s="719">
        <v>1</v>
      </c>
      <c r="P98" s="209"/>
      <c r="Q98" s="209"/>
      <c r="R98" s="159"/>
    </row>
    <row r="99" spans="2:18" ht="45" x14ac:dyDescent="0.25">
      <c r="B99" s="160"/>
      <c r="C99" s="425" t="s">
        <v>1214</v>
      </c>
      <c r="D99" s="165" t="s">
        <v>83</v>
      </c>
      <c r="E99" s="165" t="s">
        <v>944</v>
      </c>
      <c r="F99" s="719">
        <v>20</v>
      </c>
      <c r="G99" s="719">
        <v>20</v>
      </c>
      <c r="H99" s="719">
        <v>20</v>
      </c>
      <c r="I99" s="719">
        <v>20</v>
      </c>
      <c r="J99" s="719">
        <v>20</v>
      </c>
      <c r="K99" s="719">
        <v>20</v>
      </c>
      <c r="L99" s="719">
        <v>20</v>
      </c>
      <c r="M99" s="719">
        <v>20</v>
      </c>
      <c r="N99" s="719">
        <v>20</v>
      </c>
      <c r="P99" s="766" t="s">
        <v>98</v>
      </c>
      <c r="Q99" s="765">
        <f>VLOOKUP(P99,payscales!$Q$5:$V$41,4,0)</f>
        <v>103.07</v>
      </c>
      <c r="R99" s="159"/>
    </row>
    <row r="100" spans="2:18" ht="30" x14ac:dyDescent="0.25">
      <c r="B100" s="160"/>
      <c r="C100" s="425" t="s">
        <v>1214</v>
      </c>
      <c r="D100" s="165" t="s">
        <v>85</v>
      </c>
      <c r="E100" s="165" t="s">
        <v>1215</v>
      </c>
      <c r="F100" s="719">
        <f>0.23*52-F98</f>
        <v>10.96</v>
      </c>
      <c r="G100" s="719">
        <f>0.23*52-G98</f>
        <v>10.96</v>
      </c>
      <c r="H100" s="719">
        <f>0.23*52-H98</f>
        <v>10.96</v>
      </c>
      <c r="I100" s="719">
        <f>0.23*52-I98</f>
        <v>10.96</v>
      </c>
      <c r="J100" s="719">
        <f>0.23*52-J98</f>
        <v>10.96</v>
      </c>
      <c r="K100" s="719">
        <f t="shared" ref="K100:N100" si="15">0.23*52-K98</f>
        <v>10.96</v>
      </c>
      <c r="L100" s="719">
        <f>0.23*52-L98</f>
        <v>10.96</v>
      </c>
      <c r="M100" s="719">
        <f t="shared" si="15"/>
        <v>10.96</v>
      </c>
      <c r="N100" s="719">
        <f t="shared" si="15"/>
        <v>10.96</v>
      </c>
      <c r="P100" s="209"/>
      <c r="Q100" s="209"/>
      <c r="R100" s="159"/>
    </row>
    <row r="101" spans="2:18" ht="45" x14ac:dyDescent="0.25">
      <c r="B101" s="160"/>
      <c r="C101" s="425" t="s">
        <v>1214</v>
      </c>
      <c r="D101" s="165" t="s">
        <v>85</v>
      </c>
      <c r="E101" s="165" t="s">
        <v>944</v>
      </c>
      <c r="F101" s="719">
        <v>10</v>
      </c>
      <c r="G101" s="719">
        <v>10</v>
      </c>
      <c r="H101" s="719">
        <v>10</v>
      </c>
      <c r="I101" s="719">
        <v>10</v>
      </c>
      <c r="J101" s="719">
        <v>10</v>
      </c>
      <c r="K101" s="719">
        <v>10</v>
      </c>
      <c r="L101" s="719">
        <v>10</v>
      </c>
      <c r="M101" s="719">
        <v>10</v>
      </c>
      <c r="N101" s="719">
        <v>10</v>
      </c>
      <c r="P101" s="766" t="s">
        <v>98</v>
      </c>
      <c r="Q101" s="765">
        <f>VLOOKUP(P101,payscales!$Q$5:$V$41,4,0)</f>
        <v>103.07</v>
      </c>
      <c r="R101" s="159"/>
    </row>
    <row r="102" spans="2:18" ht="45" x14ac:dyDescent="0.25">
      <c r="B102" s="160"/>
      <c r="C102" s="421" t="s">
        <v>86</v>
      </c>
      <c r="D102" s="165" t="s">
        <v>87</v>
      </c>
      <c r="E102" s="165" t="s">
        <v>84</v>
      </c>
      <c r="F102" s="716">
        <v>10</v>
      </c>
      <c r="G102" s="716">
        <v>30</v>
      </c>
      <c r="H102" s="716">
        <v>0</v>
      </c>
      <c r="I102" s="716">
        <v>30</v>
      </c>
      <c r="J102" s="716">
        <v>10</v>
      </c>
      <c r="K102" s="716">
        <v>10</v>
      </c>
      <c r="L102" s="716">
        <v>10</v>
      </c>
      <c r="M102" s="716">
        <v>0</v>
      </c>
      <c r="N102" s="716">
        <v>0</v>
      </c>
      <c r="P102" s="766" t="s">
        <v>88</v>
      </c>
      <c r="Q102" s="765">
        <f>VLOOKUP(P102,payscales!$Q$5:$V$41,4,0)</f>
        <v>38.99</v>
      </c>
      <c r="R102" s="159"/>
    </row>
    <row r="103" spans="2:18" ht="60" x14ac:dyDescent="0.25">
      <c r="B103" s="160"/>
      <c r="C103" s="421" t="s">
        <v>86</v>
      </c>
      <c r="D103" s="165" t="s">
        <v>89</v>
      </c>
      <c r="E103" s="165" t="s">
        <v>84</v>
      </c>
      <c r="F103" s="716">
        <v>15</v>
      </c>
      <c r="G103" s="716">
        <v>30</v>
      </c>
      <c r="H103" s="716">
        <v>0</v>
      </c>
      <c r="I103" s="716">
        <v>30</v>
      </c>
      <c r="J103" s="716">
        <v>15</v>
      </c>
      <c r="K103" s="716">
        <v>15</v>
      </c>
      <c r="L103" s="716">
        <v>15</v>
      </c>
      <c r="M103" s="716">
        <v>0</v>
      </c>
      <c r="N103" s="716">
        <v>0</v>
      </c>
      <c r="P103" s="766" t="s">
        <v>88</v>
      </c>
      <c r="Q103" s="765">
        <f>VLOOKUP(P103,payscales!$Q$5:$V$41,4,0)</f>
        <v>38.99</v>
      </c>
      <c r="R103" s="159"/>
    </row>
    <row r="104" spans="2:18" ht="30" x14ac:dyDescent="0.25">
      <c r="B104" s="160"/>
      <c r="C104" s="421" t="s">
        <v>86</v>
      </c>
      <c r="D104" s="165" t="s">
        <v>90</v>
      </c>
      <c r="E104" s="165" t="s">
        <v>84</v>
      </c>
      <c r="F104" s="716">
        <v>15</v>
      </c>
      <c r="G104" s="716">
        <v>30</v>
      </c>
      <c r="H104" s="716">
        <v>0</v>
      </c>
      <c r="I104" s="716">
        <v>30</v>
      </c>
      <c r="J104" s="716">
        <v>15</v>
      </c>
      <c r="K104" s="716">
        <v>15</v>
      </c>
      <c r="L104" s="716">
        <v>15</v>
      </c>
      <c r="M104" s="716">
        <v>0</v>
      </c>
      <c r="N104" s="716">
        <v>0</v>
      </c>
      <c r="P104" s="766" t="s">
        <v>88</v>
      </c>
      <c r="Q104" s="765">
        <f>VLOOKUP(P104,payscales!$Q$5:$V$41,4,0)</f>
        <v>38.99</v>
      </c>
      <c r="R104" s="159"/>
    </row>
    <row r="105" spans="2:18" ht="45" hidden="1" x14ac:dyDescent="0.25">
      <c r="B105" s="160"/>
      <c r="C105" s="422" t="s">
        <v>92</v>
      </c>
      <c r="D105" s="165" t="s">
        <v>93</v>
      </c>
      <c r="E105" s="165" t="s">
        <v>84</v>
      </c>
      <c r="F105" s="716">
        <v>0</v>
      </c>
      <c r="G105" s="716">
        <v>0</v>
      </c>
      <c r="H105" s="716">
        <v>0</v>
      </c>
      <c r="I105" s="716">
        <v>0</v>
      </c>
      <c r="J105" s="716">
        <v>0</v>
      </c>
      <c r="K105" s="716">
        <v>0</v>
      </c>
      <c r="L105" s="716">
        <v>0</v>
      </c>
      <c r="M105" s="716">
        <v>0</v>
      </c>
      <c r="N105" s="716">
        <v>0</v>
      </c>
      <c r="P105" s="212"/>
      <c r="Q105" s="212"/>
      <c r="R105" s="159"/>
    </row>
    <row r="106" spans="2:18" ht="45" hidden="1" x14ac:dyDescent="0.25">
      <c r="B106" s="160"/>
      <c r="C106" s="422" t="s">
        <v>92</v>
      </c>
      <c r="D106" s="238" t="s">
        <v>94</v>
      </c>
      <c r="E106" s="165" t="s">
        <v>84</v>
      </c>
      <c r="F106" s="716">
        <v>0</v>
      </c>
      <c r="G106" s="716">
        <v>0</v>
      </c>
      <c r="H106" s="716">
        <v>0</v>
      </c>
      <c r="I106" s="716">
        <v>0</v>
      </c>
      <c r="J106" s="716">
        <v>0</v>
      </c>
      <c r="K106" s="716">
        <v>0</v>
      </c>
      <c r="L106" s="716">
        <v>0</v>
      </c>
      <c r="M106" s="716">
        <v>0</v>
      </c>
      <c r="N106" s="716">
        <v>0</v>
      </c>
      <c r="P106" s="212"/>
      <c r="Q106" s="212"/>
      <c r="R106" s="159"/>
    </row>
    <row r="107" spans="2:18" ht="45" hidden="1" x14ac:dyDescent="0.25">
      <c r="B107" s="160"/>
      <c r="C107" s="422" t="s">
        <v>92</v>
      </c>
      <c r="D107" s="165" t="s">
        <v>93</v>
      </c>
      <c r="E107" s="165" t="s">
        <v>95</v>
      </c>
      <c r="F107" s="716">
        <v>0</v>
      </c>
      <c r="G107" s="716">
        <v>0</v>
      </c>
      <c r="H107" s="716">
        <v>0</v>
      </c>
      <c r="I107" s="716">
        <v>0</v>
      </c>
      <c r="J107" s="716">
        <v>0</v>
      </c>
      <c r="K107" s="716">
        <v>0</v>
      </c>
      <c r="L107" s="716">
        <v>0</v>
      </c>
      <c r="M107" s="716">
        <v>0</v>
      </c>
      <c r="N107" s="716">
        <v>0</v>
      </c>
      <c r="P107" s="535" t="s">
        <v>88</v>
      </c>
      <c r="Q107" s="298">
        <f>VLOOKUP(P107,payscales!$Q$5:$V$41,4,0)</f>
        <v>38.99</v>
      </c>
      <c r="R107" s="159"/>
    </row>
    <row r="108" spans="2:18" ht="45" hidden="1" x14ac:dyDescent="0.25">
      <c r="B108" s="160"/>
      <c r="C108" s="422" t="s">
        <v>92</v>
      </c>
      <c r="D108" s="238" t="s">
        <v>94</v>
      </c>
      <c r="E108" s="165" t="s">
        <v>95</v>
      </c>
      <c r="F108" s="716">
        <v>0</v>
      </c>
      <c r="G108" s="716">
        <v>0</v>
      </c>
      <c r="H108" s="716">
        <v>0</v>
      </c>
      <c r="I108" s="716">
        <v>0</v>
      </c>
      <c r="J108" s="716">
        <v>0</v>
      </c>
      <c r="K108" s="716">
        <v>0</v>
      </c>
      <c r="L108" s="716">
        <v>0</v>
      </c>
      <c r="M108" s="716">
        <v>0</v>
      </c>
      <c r="N108" s="716">
        <v>0</v>
      </c>
      <c r="P108" s="535" t="s">
        <v>88</v>
      </c>
      <c r="Q108" s="298">
        <f>VLOOKUP(P108,payscales!$Q$5:$V$41,4,0)</f>
        <v>38.99</v>
      </c>
      <c r="R108" s="159"/>
    </row>
    <row r="109" spans="2:18" ht="30" x14ac:dyDescent="0.25">
      <c r="B109" s="160"/>
      <c r="C109" s="422" t="s">
        <v>1313</v>
      </c>
      <c r="D109" s="165" t="s">
        <v>96</v>
      </c>
      <c r="E109" s="165" t="s">
        <v>84</v>
      </c>
      <c r="F109" s="716">
        <v>0</v>
      </c>
      <c r="G109" s="716">
        <v>0</v>
      </c>
      <c r="H109" s="716">
        <v>0</v>
      </c>
      <c r="I109" s="716">
        <v>0</v>
      </c>
      <c r="J109" s="716">
        <v>0</v>
      </c>
      <c r="K109" s="716">
        <v>0</v>
      </c>
      <c r="L109" s="716">
        <v>0</v>
      </c>
      <c r="M109" s="716">
        <v>0</v>
      </c>
      <c r="N109" s="716">
        <v>0</v>
      </c>
      <c r="P109" s="748" t="s">
        <v>97</v>
      </c>
      <c r="Q109" s="298">
        <f>VLOOKUP(P109,payscales!$Q$5:$V$41,4,0)</f>
        <v>43.28</v>
      </c>
      <c r="R109" s="159"/>
    </row>
    <row r="110" spans="2:18" ht="30" x14ac:dyDescent="0.25">
      <c r="B110" s="160"/>
      <c r="C110" s="424" t="s">
        <v>99</v>
      </c>
      <c r="D110" s="165" t="s">
        <v>100</v>
      </c>
      <c r="E110" s="165" t="s">
        <v>1302</v>
      </c>
      <c r="F110" s="716"/>
      <c r="G110" s="716"/>
      <c r="H110" s="716"/>
      <c r="I110" s="716"/>
      <c r="J110" s="716"/>
      <c r="K110" s="716"/>
      <c r="L110" s="716"/>
      <c r="M110" s="716"/>
      <c r="N110" s="716"/>
      <c r="P110" s="209"/>
      <c r="Q110" s="209"/>
      <c r="R110" s="159"/>
    </row>
    <row r="111" spans="2:18" ht="45" x14ac:dyDescent="0.25">
      <c r="B111" s="160"/>
      <c r="C111" s="424" t="s">
        <v>99</v>
      </c>
      <c r="D111" s="165" t="s">
        <v>100</v>
      </c>
      <c r="E111" s="165" t="s">
        <v>944</v>
      </c>
      <c r="F111" s="716"/>
      <c r="G111" s="716"/>
      <c r="H111" s="716"/>
      <c r="I111" s="716"/>
      <c r="J111" s="716"/>
      <c r="K111" s="716"/>
      <c r="L111" s="716"/>
      <c r="M111" s="716"/>
      <c r="N111" s="716"/>
      <c r="P111" s="766" t="s">
        <v>98</v>
      </c>
      <c r="Q111" s="765">
        <f>VLOOKUP(P111,payscales!$Q$5:$V$41,4,0)</f>
        <v>103.07</v>
      </c>
      <c r="R111" s="159"/>
    </row>
    <row r="112" spans="2:18" ht="30" x14ac:dyDescent="0.25">
      <c r="B112" s="160"/>
      <c r="C112" s="426" t="s">
        <v>101</v>
      </c>
      <c r="D112" s="165" t="s">
        <v>1216</v>
      </c>
      <c r="E112" s="165" t="s">
        <v>1302</v>
      </c>
      <c r="F112" s="716">
        <f>0.21*52</f>
        <v>10.92</v>
      </c>
      <c r="G112" s="716">
        <f>0.21*52</f>
        <v>10.92</v>
      </c>
      <c r="H112" s="716">
        <f>0.21*52</f>
        <v>10.92</v>
      </c>
      <c r="I112" s="716">
        <f>0.21*52</f>
        <v>10.92</v>
      </c>
      <c r="J112" s="716">
        <f>0.21*52</f>
        <v>10.92</v>
      </c>
      <c r="K112" s="716">
        <f t="shared" ref="K112:N112" si="16">0.21*52</f>
        <v>10.92</v>
      </c>
      <c r="L112" s="716">
        <f t="shared" si="16"/>
        <v>10.92</v>
      </c>
      <c r="M112" s="716">
        <f t="shared" si="16"/>
        <v>10.92</v>
      </c>
      <c r="N112" s="716">
        <f t="shared" si="16"/>
        <v>10.92</v>
      </c>
      <c r="P112" s="209"/>
      <c r="Q112" s="209"/>
      <c r="R112" s="159"/>
    </row>
    <row r="113" spans="2:18" ht="45" x14ac:dyDescent="0.25">
      <c r="B113" s="160"/>
      <c r="C113" s="426" t="s">
        <v>101</v>
      </c>
      <c r="D113" s="165" t="s">
        <v>1216</v>
      </c>
      <c r="E113" s="165" t="s">
        <v>943</v>
      </c>
      <c r="F113" s="716"/>
      <c r="G113" s="716"/>
      <c r="H113" s="716"/>
      <c r="I113" s="716"/>
      <c r="J113" s="716"/>
      <c r="K113" s="716"/>
      <c r="L113" s="716"/>
      <c r="M113" s="716"/>
      <c r="N113" s="716"/>
      <c r="P113" s="766" t="s">
        <v>88</v>
      </c>
      <c r="Q113" s="765">
        <f>VLOOKUP(P113,payscales!$Q$5:$V$41,4,0)</f>
        <v>38.99</v>
      </c>
      <c r="R113" s="159"/>
    </row>
    <row r="114" spans="2:18" ht="30" x14ac:dyDescent="0.25">
      <c r="B114" s="160"/>
      <c r="C114" s="426" t="s">
        <v>101</v>
      </c>
      <c r="D114" s="165" t="s">
        <v>1185</v>
      </c>
      <c r="E114" s="165" t="s">
        <v>1302</v>
      </c>
      <c r="F114" s="716">
        <f>0.19*52</f>
        <v>9.8800000000000008</v>
      </c>
      <c r="G114" s="716">
        <f>0.19*52</f>
        <v>9.8800000000000008</v>
      </c>
      <c r="H114" s="716">
        <f>0.19*52</f>
        <v>9.8800000000000008</v>
      </c>
      <c r="I114" s="716">
        <f>0.19*52</f>
        <v>9.8800000000000008</v>
      </c>
      <c r="J114" s="716">
        <f>0.19*52</f>
        <v>9.8800000000000008</v>
      </c>
      <c r="K114" s="716">
        <f t="shared" ref="K114:N114" si="17">0.19*52</f>
        <v>9.8800000000000008</v>
      </c>
      <c r="L114" s="716">
        <f t="shared" si="17"/>
        <v>9.8800000000000008</v>
      </c>
      <c r="M114" s="716">
        <f t="shared" si="17"/>
        <v>9.8800000000000008</v>
      </c>
      <c r="N114" s="716">
        <f t="shared" si="17"/>
        <v>9.8800000000000008</v>
      </c>
      <c r="P114" s="209"/>
      <c r="Q114" s="209"/>
      <c r="R114" s="159"/>
    </row>
    <row r="115" spans="2:18" ht="45" x14ac:dyDescent="0.25">
      <c r="B115" s="160"/>
      <c r="C115" s="426" t="s">
        <v>101</v>
      </c>
      <c r="D115" s="165" t="s">
        <v>1185</v>
      </c>
      <c r="E115" s="165" t="s">
        <v>943</v>
      </c>
      <c r="F115" s="716"/>
      <c r="G115" s="716"/>
      <c r="H115" s="716"/>
      <c r="I115" s="716"/>
      <c r="J115" s="716"/>
      <c r="K115" s="716"/>
      <c r="L115" s="716"/>
      <c r="M115" s="716"/>
      <c r="N115" s="716"/>
      <c r="P115" s="766" t="s">
        <v>102</v>
      </c>
      <c r="Q115" s="765">
        <f>VLOOKUP(P115,payscales!$Q$5:$V$41,4,0)</f>
        <v>31.51</v>
      </c>
      <c r="R115" s="159"/>
    </row>
    <row r="116" spans="2:18" ht="30" x14ac:dyDescent="0.25">
      <c r="B116" s="160"/>
      <c r="C116" s="426" t="s">
        <v>101</v>
      </c>
      <c r="D116" s="165" t="s">
        <v>1217</v>
      </c>
      <c r="E116" s="165" t="s">
        <v>1302</v>
      </c>
      <c r="F116" s="716">
        <f>0.12*52</f>
        <v>6.24</v>
      </c>
      <c r="G116" s="716">
        <f>0.12*52</f>
        <v>6.24</v>
      </c>
      <c r="H116" s="716">
        <f>0.12*52</f>
        <v>6.24</v>
      </c>
      <c r="I116" s="716">
        <f>0.12*52</f>
        <v>6.24</v>
      </c>
      <c r="J116" s="716">
        <f>0.12*52</f>
        <v>6.24</v>
      </c>
      <c r="K116" s="716">
        <f t="shared" ref="K116:N116" si="18">0.12*52</f>
        <v>6.24</v>
      </c>
      <c r="L116" s="716">
        <f t="shared" si="18"/>
        <v>6.24</v>
      </c>
      <c r="M116" s="716">
        <f t="shared" si="18"/>
        <v>6.24</v>
      </c>
      <c r="N116" s="716">
        <f t="shared" si="18"/>
        <v>6.24</v>
      </c>
      <c r="P116" s="209"/>
      <c r="Q116" s="209"/>
      <c r="R116" s="159"/>
    </row>
    <row r="117" spans="2:18" ht="45" x14ac:dyDescent="0.25">
      <c r="B117" s="160"/>
      <c r="C117" s="426" t="s">
        <v>101</v>
      </c>
      <c r="D117" s="165" t="s">
        <v>1217</v>
      </c>
      <c r="E117" s="165" t="s">
        <v>943</v>
      </c>
      <c r="F117" s="716"/>
      <c r="G117" s="716"/>
      <c r="H117" s="716"/>
      <c r="I117" s="716"/>
      <c r="J117" s="716"/>
      <c r="K117" s="716"/>
      <c r="L117" s="716"/>
      <c r="M117" s="716"/>
      <c r="N117" s="716"/>
      <c r="P117" s="766" t="s">
        <v>97</v>
      </c>
      <c r="Q117" s="765">
        <f>VLOOKUP(P117,payscales!$Q$5:$V$41,4,0)</f>
        <v>43.28</v>
      </c>
      <c r="R117" s="159"/>
    </row>
    <row r="118" spans="2:18" ht="30" x14ac:dyDescent="0.25">
      <c r="B118" s="160"/>
      <c r="C118" s="426" t="s">
        <v>101</v>
      </c>
      <c r="D118" s="165" t="s">
        <v>1191</v>
      </c>
      <c r="E118" s="165" t="s">
        <v>1302</v>
      </c>
      <c r="F118" s="716">
        <f>0.13*52</f>
        <v>6.76</v>
      </c>
      <c r="G118" s="716">
        <f>0.13*52</f>
        <v>6.76</v>
      </c>
      <c r="H118" s="716">
        <f>0.13*52</f>
        <v>6.76</v>
      </c>
      <c r="I118" s="716">
        <f>0.13*52</f>
        <v>6.76</v>
      </c>
      <c r="J118" s="716">
        <f>0.13*52</f>
        <v>6.76</v>
      </c>
      <c r="K118" s="716">
        <f t="shared" ref="K118:N118" si="19">0.13*52</f>
        <v>6.76</v>
      </c>
      <c r="L118" s="716">
        <f t="shared" si="19"/>
        <v>6.76</v>
      </c>
      <c r="M118" s="716">
        <f t="shared" si="19"/>
        <v>6.76</v>
      </c>
      <c r="N118" s="716">
        <f t="shared" si="19"/>
        <v>6.76</v>
      </c>
      <c r="P118" s="209"/>
      <c r="Q118" s="209"/>
      <c r="R118" s="159"/>
    </row>
    <row r="119" spans="2:18" ht="45" x14ac:dyDescent="0.25">
      <c r="B119" s="160"/>
      <c r="C119" s="426" t="s">
        <v>101</v>
      </c>
      <c r="D119" s="165" t="s">
        <v>1191</v>
      </c>
      <c r="E119" s="165" t="s">
        <v>943</v>
      </c>
      <c r="F119" s="716"/>
      <c r="G119" s="716"/>
      <c r="H119" s="716"/>
      <c r="I119" s="716"/>
      <c r="J119" s="716"/>
      <c r="K119" s="716"/>
      <c r="L119" s="716"/>
      <c r="M119" s="716"/>
      <c r="N119" s="716"/>
      <c r="P119" s="766" t="s">
        <v>102</v>
      </c>
      <c r="Q119" s="765">
        <f>VLOOKUP(P119,payscales!$Q$5:$V$41,4,0)</f>
        <v>31.51</v>
      </c>
      <c r="R119" s="159"/>
    </row>
    <row r="120" spans="2:18" ht="45" x14ac:dyDescent="0.25">
      <c r="B120" s="160"/>
      <c r="C120" s="374" t="s">
        <v>103</v>
      </c>
      <c r="D120" s="374" t="s">
        <v>104</v>
      </c>
      <c r="E120" s="165" t="s">
        <v>1302</v>
      </c>
      <c r="F120" s="786" t="s">
        <v>1218</v>
      </c>
      <c r="G120" s="786" t="s">
        <v>1218</v>
      </c>
      <c r="H120" s="786" t="s">
        <v>1218</v>
      </c>
      <c r="I120" s="786" t="s">
        <v>1218</v>
      </c>
      <c r="J120" s="786" t="s">
        <v>1218</v>
      </c>
      <c r="K120" s="786" t="s">
        <v>1218</v>
      </c>
      <c r="L120" s="786" t="s">
        <v>1218</v>
      </c>
      <c r="M120" s="786" t="s">
        <v>1218</v>
      </c>
      <c r="N120" s="786" t="s">
        <v>1218</v>
      </c>
      <c r="O120" s="714"/>
      <c r="P120" s="212"/>
      <c r="Q120" s="209"/>
      <c r="R120" s="159"/>
    </row>
    <row r="121" spans="2:18" x14ac:dyDescent="0.25">
      <c r="B121" s="160"/>
      <c r="C121" s="363"/>
      <c r="D121" s="215"/>
      <c r="E121" s="215"/>
      <c r="F121" s="215"/>
      <c r="R121" s="159"/>
    </row>
    <row r="122" spans="2:18" x14ac:dyDescent="0.25">
      <c r="B122" s="160"/>
      <c r="C122" s="199" t="s">
        <v>105</v>
      </c>
      <c r="D122" s="152"/>
      <c r="R122" s="159"/>
    </row>
    <row r="123" spans="2:18" x14ac:dyDescent="0.25">
      <c r="B123" s="160"/>
      <c r="C123" t="s">
        <v>1219</v>
      </c>
      <c r="D123" s="152"/>
      <c r="R123" s="159"/>
    </row>
    <row r="124" spans="2:18" x14ac:dyDescent="0.25">
      <c r="B124" s="160"/>
      <c r="C124" t="s">
        <v>1220</v>
      </c>
      <c r="D124" s="152"/>
      <c r="R124" s="159"/>
    </row>
    <row r="125" spans="2:18" x14ac:dyDescent="0.25">
      <c r="B125" s="160"/>
      <c r="C125" t="s">
        <v>1221</v>
      </c>
      <c r="D125" s="152"/>
      <c r="R125" s="159"/>
    </row>
    <row r="126" spans="2:18" x14ac:dyDescent="0.25">
      <c r="B126" s="160"/>
      <c r="C126" t="s">
        <v>1307</v>
      </c>
      <c r="D126" s="152"/>
      <c r="R126" s="159"/>
    </row>
    <row r="127" spans="2:18" x14ac:dyDescent="0.25">
      <c r="B127" s="160"/>
      <c r="C127" t="s">
        <v>1239</v>
      </c>
      <c r="D127" s="152"/>
      <c r="R127" s="159"/>
    </row>
    <row r="128" spans="2:18" x14ac:dyDescent="0.25">
      <c r="B128" s="160"/>
      <c r="C128" s="215" t="s">
        <v>106</v>
      </c>
      <c r="D128" s="152"/>
      <c r="R128" s="159"/>
    </row>
    <row r="129" spans="2:18" x14ac:dyDescent="0.25">
      <c r="B129" s="161"/>
      <c r="C129" s="162"/>
      <c r="D129" s="164"/>
      <c r="E129" s="164"/>
      <c r="F129" s="164"/>
      <c r="G129" s="164"/>
      <c r="H129" s="162"/>
      <c r="I129" s="162"/>
      <c r="J129" s="162"/>
      <c r="K129" s="162"/>
      <c r="L129" s="162"/>
      <c r="M129" s="162"/>
      <c r="N129" s="162"/>
      <c r="O129" s="162"/>
      <c r="P129" s="162"/>
      <c r="Q129" s="162"/>
      <c r="R129" s="163"/>
    </row>
    <row r="130" spans="2:18" x14ac:dyDescent="0.25">
      <c r="D130" s="152"/>
      <c r="E130" s="152"/>
      <c r="F130" s="152"/>
      <c r="G130" s="152"/>
    </row>
    <row r="131" spans="2:18" x14ac:dyDescent="0.25">
      <c r="B131" s="417" t="s">
        <v>107</v>
      </c>
      <c r="C131" s="416"/>
      <c r="D131" s="416"/>
      <c r="E131" s="416"/>
      <c r="F131" s="416"/>
      <c r="G131" s="416"/>
      <c r="H131" s="416"/>
      <c r="I131" s="416"/>
      <c r="J131" s="416"/>
      <c r="K131" s="416"/>
      <c r="L131" s="416"/>
      <c r="M131" s="416"/>
      <c r="N131" s="416"/>
      <c r="O131" s="416"/>
      <c r="P131" s="416"/>
      <c r="Q131" s="230"/>
    </row>
    <row r="132" spans="2:18" x14ac:dyDescent="0.25">
      <c r="B132" s="234"/>
      <c r="C132" s="227"/>
      <c r="D132" s="227"/>
      <c r="E132" s="227"/>
      <c r="F132" s="227"/>
      <c r="G132" s="227"/>
      <c r="H132" s="227"/>
      <c r="I132" s="227"/>
      <c r="J132" s="227"/>
      <c r="K132" s="227"/>
      <c r="L132" s="227"/>
      <c r="M132" s="227"/>
      <c r="N132" s="227"/>
      <c r="O132" s="227"/>
      <c r="P132" s="227"/>
      <c r="Q132" s="235"/>
    </row>
    <row r="133" spans="2:18" x14ac:dyDescent="0.25">
      <c r="B133" s="234"/>
      <c r="C133" s="720" t="s">
        <v>1222</v>
      </c>
      <c r="D133" s="227"/>
      <c r="E133" s="227"/>
      <c r="F133" s="227"/>
      <c r="G133" s="227"/>
      <c r="H133" s="227"/>
      <c r="I133" s="227"/>
      <c r="J133" s="227"/>
      <c r="K133" s="227"/>
      <c r="L133" s="227"/>
      <c r="M133" s="227"/>
      <c r="N133" s="227"/>
      <c r="O133" s="227"/>
      <c r="P133" s="227"/>
      <c r="Q133" s="235"/>
    </row>
    <row r="134" spans="2:18" x14ac:dyDescent="0.25">
      <c r="B134" s="234"/>
      <c r="C134" s="721" t="s">
        <v>1223</v>
      </c>
      <c r="D134" s="227"/>
      <c r="E134" s="227"/>
      <c r="F134" s="227"/>
      <c r="G134" s="227"/>
      <c r="H134" s="227"/>
      <c r="I134" s="227"/>
      <c r="J134" s="227"/>
      <c r="K134" s="227"/>
      <c r="L134" s="227"/>
      <c r="M134" s="227"/>
      <c r="N134" s="227"/>
      <c r="O134" s="227"/>
      <c r="P134" s="227"/>
      <c r="Q134" s="235"/>
    </row>
    <row r="135" spans="2:18" x14ac:dyDescent="0.25">
      <c r="B135" s="234"/>
      <c r="C135" s="722" t="s">
        <v>1224</v>
      </c>
      <c r="D135" s="227"/>
      <c r="E135" s="227"/>
      <c r="F135" s="227"/>
      <c r="G135" s="227"/>
      <c r="H135" s="227"/>
      <c r="I135" s="227"/>
      <c r="J135" s="227"/>
      <c r="K135" s="227"/>
      <c r="L135" s="227"/>
      <c r="M135" s="227"/>
      <c r="N135" s="227"/>
      <c r="O135" s="227"/>
      <c r="P135" s="227"/>
      <c r="Q135" s="235"/>
    </row>
    <row r="136" spans="2:18" x14ac:dyDescent="0.25">
      <c r="B136" s="234"/>
      <c r="C136" s="720" t="s">
        <v>1225</v>
      </c>
      <c r="D136" s="227"/>
      <c r="E136" s="227"/>
      <c r="F136" s="227"/>
      <c r="G136" s="227"/>
      <c r="H136" s="227"/>
      <c r="I136" s="227"/>
      <c r="J136" s="227"/>
      <c r="K136" s="227"/>
      <c r="L136" s="227"/>
      <c r="M136" s="227"/>
      <c r="N136" s="227"/>
      <c r="O136" s="227"/>
      <c r="P136" s="227"/>
      <c r="Q136" s="235"/>
    </row>
    <row r="137" spans="2:18" x14ac:dyDescent="0.25">
      <c r="B137" s="234"/>
      <c r="C137" s="722"/>
      <c r="D137" s="227"/>
      <c r="E137" s="227"/>
      <c r="F137" s="227"/>
      <c r="G137" s="227"/>
      <c r="H137" s="227"/>
      <c r="I137" s="227"/>
      <c r="J137" s="227"/>
      <c r="K137" s="227"/>
      <c r="L137" s="227"/>
      <c r="M137" s="227"/>
      <c r="N137" s="227"/>
      <c r="O137" s="227"/>
      <c r="P137" s="227"/>
      <c r="Q137" s="235"/>
    </row>
    <row r="138" spans="2:18" x14ac:dyDescent="0.25">
      <c r="B138" s="234"/>
      <c r="C138" s="723" t="s">
        <v>1226</v>
      </c>
      <c r="D138" s="227"/>
      <c r="E138" s="227"/>
      <c r="F138" s="227"/>
      <c r="G138" s="227"/>
      <c r="H138" s="227"/>
      <c r="I138" s="227"/>
      <c r="J138" s="227"/>
      <c r="K138" s="227"/>
      <c r="L138" s="227"/>
      <c r="M138" s="227"/>
      <c r="N138" s="227"/>
      <c r="O138" s="227"/>
      <c r="P138" s="227"/>
      <c r="Q138" s="235"/>
    </row>
    <row r="139" spans="2:18" x14ac:dyDescent="0.25">
      <c r="B139" s="234"/>
      <c r="C139" s="722" t="s">
        <v>1227</v>
      </c>
      <c r="D139" s="227"/>
      <c r="E139" s="227"/>
      <c r="F139" s="227"/>
      <c r="G139" s="227"/>
      <c r="H139" s="227"/>
      <c r="I139" s="227"/>
      <c r="J139" s="227"/>
      <c r="K139" s="227"/>
      <c r="L139" s="227"/>
      <c r="M139" s="227"/>
      <c r="N139" s="227"/>
      <c r="O139" s="227"/>
      <c r="P139" s="227"/>
      <c r="Q139" s="235"/>
    </row>
    <row r="140" spans="2:18" x14ac:dyDescent="0.25">
      <c r="B140" s="234"/>
      <c r="C140" s="724"/>
      <c r="D140" s="227"/>
      <c r="E140" s="227"/>
      <c r="F140" s="227"/>
      <c r="G140" s="227"/>
      <c r="H140" s="227"/>
      <c r="I140" s="227"/>
      <c r="J140" s="227"/>
      <c r="K140" s="227"/>
      <c r="L140" s="227"/>
      <c r="M140" s="227"/>
      <c r="N140" s="227"/>
      <c r="O140" s="227"/>
      <c r="P140" s="227"/>
      <c r="Q140" s="235"/>
    </row>
    <row r="141" spans="2:18" x14ac:dyDescent="0.25">
      <c r="B141" s="234"/>
      <c r="C141" s="725" t="s">
        <v>1228</v>
      </c>
      <c r="D141" s="227"/>
      <c r="E141" s="227"/>
      <c r="F141" s="227"/>
      <c r="G141" s="227"/>
      <c r="H141" s="227"/>
      <c r="I141" s="227"/>
      <c r="J141" s="227"/>
      <c r="K141" s="227"/>
      <c r="L141" s="227"/>
      <c r="M141" s="227"/>
      <c r="N141" s="227"/>
      <c r="O141" s="227"/>
      <c r="P141" s="227"/>
      <c r="Q141" s="235"/>
    </row>
    <row r="142" spans="2:18" x14ac:dyDescent="0.25">
      <c r="B142" s="234"/>
      <c r="C142" s="726" t="s">
        <v>1229</v>
      </c>
      <c r="D142" s="227"/>
      <c r="E142" s="227"/>
      <c r="F142" s="227"/>
      <c r="G142" s="227"/>
      <c r="H142" s="227"/>
      <c r="I142" s="227"/>
      <c r="J142" s="227"/>
      <c r="K142" s="227"/>
      <c r="L142" s="227"/>
      <c r="M142" s="227"/>
      <c r="N142" s="227"/>
      <c r="O142" s="227"/>
      <c r="P142" s="227"/>
      <c r="Q142" s="235"/>
    </row>
    <row r="143" spans="2:18" x14ac:dyDescent="0.25">
      <c r="B143" s="234"/>
      <c r="C143" s="727"/>
      <c r="D143" s="227"/>
      <c r="E143" s="227"/>
      <c r="F143" s="227"/>
      <c r="G143" s="227"/>
      <c r="H143" s="227"/>
      <c r="I143" s="227"/>
      <c r="J143" s="227"/>
      <c r="K143" s="227"/>
      <c r="L143" s="227"/>
      <c r="M143" s="227"/>
      <c r="N143" s="227"/>
      <c r="O143" s="227"/>
      <c r="P143" s="227"/>
      <c r="Q143" s="235"/>
    </row>
    <row r="144" spans="2:18" x14ac:dyDescent="0.25">
      <c r="B144" s="234"/>
      <c r="C144" s="728" t="s">
        <v>1230</v>
      </c>
      <c r="D144" s="227"/>
      <c r="E144" s="227"/>
      <c r="F144" s="227"/>
      <c r="G144" s="227"/>
      <c r="H144" s="227"/>
      <c r="I144" s="227"/>
      <c r="J144" s="227"/>
      <c r="K144" s="227"/>
      <c r="L144" s="227"/>
      <c r="M144" s="227"/>
      <c r="N144" s="227"/>
      <c r="O144" s="227"/>
      <c r="P144" s="227"/>
      <c r="Q144" s="235"/>
    </row>
    <row r="145" spans="2:17" x14ac:dyDescent="0.25">
      <c r="B145" s="234"/>
      <c r="C145" s="722" t="s">
        <v>1231</v>
      </c>
      <c r="D145" s="227"/>
      <c r="E145" s="227"/>
      <c r="F145" s="227"/>
      <c r="G145" s="227"/>
      <c r="H145" s="227"/>
      <c r="I145" s="227"/>
      <c r="J145" s="227"/>
      <c r="K145" s="227"/>
      <c r="L145" s="227"/>
      <c r="M145" s="227"/>
      <c r="N145" s="227"/>
      <c r="O145" s="227"/>
      <c r="P145" s="227"/>
      <c r="Q145" s="235"/>
    </row>
    <row r="146" spans="2:17" x14ac:dyDescent="0.25">
      <c r="B146" s="232"/>
      <c r="C146" s="236"/>
      <c r="D146" s="231"/>
      <c r="E146" s="231"/>
      <c r="F146" s="231"/>
      <c r="G146" s="231"/>
      <c r="H146" s="231"/>
      <c r="I146" s="231"/>
      <c r="J146" s="231"/>
      <c r="K146" s="231"/>
      <c r="L146" s="231"/>
      <c r="M146" s="231"/>
      <c r="N146" s="231"/>
      <c r="O146" s="231"/>
      <c r="P146" s="231"/>
      <c r="Q146" s="233"/>
    </row>
  </sheetData>
  <sheetProtection algorithmName="SHA-512" hashValue="aX6fv2K+5q6+tA9tS4BL8xHKe8rQJium72f3BuJwYdyYImNuXXlAZN0OOJMlWRRiGcb/8Fspc/psSGPlMGRuzA==" saltValue="QnA7xAg8ZSCn1AKdS4/SCg==" spinCount="100000" sheet="1" objects="1" scenarios="1"/>
  <protectedRanges>
    <protectedRange sqref="E11:E13 E15 E17 E19:E20 F39 G36:G40 E36:F38 E40:F40 G43" name="Range1"/>
    <protectedRange sqref="E33:G35 E27:G31" name="Range2"/>
    <protectedRange sqref="E32:G32" name="Range2_1"/>
    <protectedRange sqref="F41:F42" name="Range2_2"/>
    <protectedRange sqref="G121:H121 G96 I96 F112:N119 F98:N110" name="Range1_1"/>
    <protectedRange sqref="D65:D66 E70:J74" name="Range1_1_1"/>
    <protectedRange sqref="I55:J60" name="Range1_4_1"/>
    <protectedRange sqref="I61:J62" name="Range1_4_1_1"/>
    <protectedRange sqref="E79:J82" name="Range1_1_1_1"/>
    <protectedRange sqref="L70:Q74 L79:Q82" name="Range1_2"/>
  </protectedRanges>
  <mergeCells count="7">
    <mergeCell ref="H33:X33"/>
    <mergeCell ref="H27:V27"/>
    <mergeCell ref="F96:I96"/>
    <mergeCell ref="C70:D70"/>
    <mergeCell ref="C71:D71"/>
    <mergeCell ref="C79:D79"/>
    <mergeCell ref="C80:D80"/>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H27:V27" r:id="rId1" display="Cancer Registration Statistics, England 2019 - NHS Digital C90 Multiple myeloma and malignant plasma cell neoplasms age 20 and over" xr:uid="{DD722ECE-5AB0-4B5D-B406-0111A6A5703B}"/>
    <hyperlink ref="C135" r:id="rId2" xr:uid="{455197D5-395B-4BDD-AFA8-25C314F576FE}"/>
    <hyperlink ref="C139" r:id="rId3" xr:uid="{5DCF28A9-555A-44A1-9926-6523406C38A2}"/>
    <hyperlink ref="C145" r:id="rId4" xr:uid="{0C0CBFCC-EF4E-460D-B888-C36EA491BCCB}"/>
    <hyperlink ref="C142" r:id="rId5" xr:uid="{16BE7812-6BBC-4C39-95D5-E6FD261A4EA8}"/>
    <hyperlink ref="K56" r:id="rId6" xr:uid="{15F69032-803F-48C0-8C74-850FC0B15D19}"/>
    <hyperlink ref="K57" r:id="rId7" xr:uid="{E348586F-ACDA-4156-9AA2-F9AC6F5E0C04}"/>
    <hyperlink ref="C88" r:id="rId8" display="The Phase 3 Maia Study" xr:uid="{B1798D9C-6308-4EE9-A38C-0E25B0C8B7C5}"/>
  </hyperlinks>
  <pageMargins left="0.7" right="0.7" top="0.75" bottom="0.75" header="0.3" footer="0.3"/>
  <pageSetup paperSize="9" scale="49" orientation="landscape" verticalDpi="0" r:id="rId9"/>
  <rowBreaks count="1" manualBreakCount="1">
    <brk id="69" max="16383" man="1"/>
  </rowBreaks>
  <legacyDrawing r:id="rId10"/>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F39</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E677D1D-7939-422A-BA90-14DBD19EBA79}">
          <x14:formula1>
            <xm:f>payscales!$Q$5:$Q$41</xm:f>
          </x14:formula1>
          <xm:sqref>P99 P101:P104 P113 P111 P115 P117 P119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647DA-C84E-4380-9318-A467DAF6E9E3}">
  <sheetPr>
    <tabColor theme="8" tint="0.59999389629810485"/>
    <pageSetUpPr fitToPage="1"/>
  </sheetPr>
  <dimension ref="A1:AD184"/>
  <sheetViews>
    <sheetView showGridLines="0" zoomScale="55" zoomScaleNormal="55" workbookViewId="0">
      <selection activeCell="L8" sqref="L8"/>
    </sheetView>
  </sheetViews>
  <sheetFormatPr defaultColWidth="9.140625" defaultRowHeight="12.75" x14ac:dyDescent="0.2"/>
  <cols>
    <col min="1" max="1" width="3.5703125" style="3" customWidth="1"/>
    <col min="2" max="2" width="64.42578125" style="3" customWidth="1"/>
    <col min="3" max="3" width="18.140625" style="3" customWidth="1"/>
    <col min="4" max="4" width="17" style="3" customWidth="1"/>
    <col min="5" max="5" width="12.5703125" style="3" customWidth="1"/>
    <col min="6" max="6" width="10.85546875" style="3" customWidth="1"/>
    <col min="7" max="7" width="10.42578125" style="3" bestFit="1" customWidth="1"/>
    <col min="8" max="8" width="11.140625" style="3" customWidth="1"/>
    <col min="9" max="9" width="9.42578125" style="3" customWidth="1"/>
    <col min="10" max="10" width="11.42578125" style="3" customWidth="1"/>
    <col min="11" max="11" width="11.85546875" style="3" customWidth="1"/>
    <col min="12" max="12" width="12.140625" style="3" customWidth="1"/>
    <col min="13" max="13" width="12.7109375" style="3" customWidth="1"/>
    <col min="14" max="14" width="12.42578125" style="3" customWidth="1"/>
    <col min="15" max="15" width="9.140625" style="3" customWidth="1"/>
    <col min="16" max="16" width="15.140625" style="3" bestFit="1" customWidth="1"/>
    <col min="17" max="17" width="12.140625" style="3" customWidth="1"/>
    <col min="18" max="18" width="14" style="3" customWidth="1"/>
    <col min="19" max="19" width="12.140625" style="3" customWidth="1"/>
    <col min="20" max="20" width="9.42578125" style="3" customWidth="1"/>
    <col min="21" max="21" width="12.7109375" style="3" customWidth="1"/>
    <col min="22" max="16384" width="9.140625" style="3"/>
  </cols>
  <sheetData>
    <row r="1" spans="1:27" ht="30" customHeight="1" x14ac:dyDescent="0.35">
      <c r="A1" s="193"/>
      <c r="B1" s="601" t="s">
        <v>1297</v>
      </c>
      <c r="C1" s="147"/>
      <c r="D1" s="131"/>
      <c r="E1" s="131"/>
      <c r="F1" s="131"/>
      <c r="G1" s="131" t="s">
        <v>108</v>
      </c>
      <c r="H1" s="131" t="s">
        <v>108</v>
      </c>
      <c r="I1" s="131" t="s">
        <v>108</v>
      </c>
      <c r="J1" s="131" t="s">
        <v>108</v>
      </c>
      <c r="K1" s="131" t="s">
        <v>108</v>
      </c>
      <c r="L1" s="131" t="s">
        <v>108</v>
      </c>
      <c r="M1" s="131" t="s">
        <v>108</v>
      </c>
      <c r="N1" s="153"/>
      <c r="O1" s="193"/>
      <c r="P1" s="193"/>
      <c r="Q1" s="193"/>
      <c r="R1" s="193"/>
      <c r="S1" s="193"/>
      <c r="T1" s="193"/>
      <c r="U1" s="193"/>
      <c r="V1" s="193"/>
      <c r="W1" s="193"/>
    </row>
    <row r="2" spans="1:27" ht="26.25" customHeight="1" x14ac:dyDescent="0.35">
      <c r="A2" s="193"/>
      <c r="B2" s="145" t="s">
        <v>109</v>
      </c>
      <c r="C2" s="146" t="s">
        <v>108</v>
      </c>
      <c r="D2" s="131" t="s">
        <v>108</v>
      </c>
      <c r="E2" s="131" t="s">
        <v>108</v>
      </c>
      <c r="F2" s="131" t="s">
        <v>108</v>
      </c>
      <c r="G2" s="131" t="s">
        <v>108</v>
      </c>
      <c r="H2" s="131" t="s">
        <v>108</v>
      </c>
      <c r="I2" s="131" t="s">
        <v>108</v>
      </c>
      <c r="J2" s="131" t="s">
        <v>108</v>
      </c>
      <c r="K2" s="132" t="s">
        <v>108</v>
      </c>
      <c r="L2" s="132"/>
      <c r="M2" s="132"/>
      <c r="N2" s="132"/>
      <c r="O2" s="193"/>
      <c r="P2" s="193"/>
      <c r="Q2" s="193"/>
      <c r="R2" s="193"/>
      <c r="S2" s="193"/>
      <c r="T2" s="193"/>
      <c r="U2" s="193"/>
      <c r="V2" s="193"/>
      <c r="W2" s="193"/>
      <c r="X2" s="4"/>
      <c r="Y2" s="4"/>
      <c r="Z2" s="4"/>
      <c r="AA2" s="4"/>
    </row>
    <row r="3" spans="1:27" ht="14.45" customHeight="1" x14ac:dyDescent="0.35">
      <c r="A3" s="193"/>
      <c r="B3" s="129"/>
      <c r="C3" s="147"/>
      <c r="D3" s="131"/>
      <c r="E3" s="131"/>
      <c r="F3" s="131"/>
      <c r="G3" s="131" t="s">
        <v>108</v>
      </c>
      <c r="H3" s="131" t="s">
        <v>108</v>
      </c>
      <c r="I3" s="131" t="s">
        <v>108</v>
      </c>
      <c r="J3" s="131" t="s">
        <v>108</v>
      </c>
      <c r="K3" s="132" t="s">
        <v>108</v>
      </c>
      <c r="L3" s="132"/>
      <c r="M3" s="132"/>
      <c r="N3" s="132"/>
      <c r="O3" s="193"/>
      <c r="P3" s="193"/>
      <c r="Q3" s="193"/>
      <c r="R3" s="193"/>
      <c r="S3" s="193"/>
      <c r="T3" s="193"/>
      <c r="U3" s="193"/>
      <c r="V3" s="193"/>
      <c r="W3" s="193"/>
      <c r="X3" s="4"/>
      <c r="Y3" s="4"/>
      <c r="Z3" s="4"/>
      <c r="AA3" s="4"/>
    </row>
    <row r="4" spans="1:27" ht="14.45" customHeight="1" x14ac:dyDescent="0.35">
      <c r="A4" s="193"/>
      <c r="B4" t="s">
        <v>110</v>
      </c>
      <c r="C4" s="147"/>
      <c r="D4" s="131"/>
      <c r="E4" s="131"/>
      <c r="F4" s="131"/>
      <c r="G4" s="131" t="s">
        <v>108</v>
      </c>
      <c r="H4" s="131" t="s">
        <v>108</v>
      </c>
      <c r="I4" s="131" t="s">
        <v>108</v>
      </c>
      <c r="J4" s="131" t="s">
        <v>108</v>
      </c>
      <c r="K4" s="132" t="s">
        <v>108</v>
      </c>
      <c r="L4" s="131"/>
      <c r="M4" s="132"/>
      <c r="N4" s="132"/>
      <c r="O4" s="132"/>
      <c r="P4" s="132"/>
      <c r="Q4" s="132"/>
      <c r="R4" s="132"/>
      <c r="S4" s="132"/>
      <c r="T4" s="132"/>
      <c r="U4" s="132"/>
      <c r="V4" s="132"/>
      <c r="W4" s="132"/>
      <c r="X4" s="4"/>
      <c r="Y4" s="4"/>
      <c r="Z4" s="4"/>
      <c r="AA4" s="4"/>
    </row>
    <row r="5" spans="1:27" ht="14.45" customHeight="1" x14ac:dyDescent="0.35">
      <c r="A5" s="193"/>
      <c r="B5" t="s">
        <v>35</v>
      </c>
      <c r="C5" s="147"/>
      <c r="D5" s="131"/>
      <c r="E5" s="131"/>
      <c r="F5" s="131"/>
      <c r="G5" s="131"/>
      <c r="H5" s="131" t="s">
        <v>108</v>
      </c>
      <c r="I5" s="131" t="s">
        <v>108</v>
      </c>
      <c r="J5" s="131" t="s">
        <v>108</v>
      </c>
      <c r="K5" s="132" t="s">
        <v>108</v>
      </c>
      <c r="L5" s="131"/>
      <c r="M5" s="132"/>
      <c r="N5" s="132"/>
      <c r="O5" s="132"/>
      <c r="P5" s="132"/>
      <c r="Q5" s="132"/>
      <c r="R5" s="132"/>
      <c r="S5" s="132"/>
      <c r="T5" s="132"/>
      <c r="U5" s="132"/>
      <c r="V5" s="132"/>
      <c r="W5" s="132"/>
      <c r="X5" s="4"/>
      <c r="Y5" s="4"/>
      <c r="Z5" s="4"/>
      <c r="AA5" s="4"/>
    </row>
    <row r="6" spans="1:27" ht="14.45" customHeight="1" x14ac:dyDescent="0.35">
      <c r="A6" s="193"/>
      <c r="B6"/>
      <c r="C6" s="147"/>
      <c r="D6" s="131"/>
      <c r="E6" s="131"/>
      <c r="F6" s="131"/>
      <c r="G6" s="131"/>
      <c r="H6" s="131"/>
      <c r="I6" s="131"/>
      <c r="J6" s="131"/>
      <c r="K6" s="132"/>
      <c r="L6" s="131"/>
      <c r="M6" s="132"/>
      <c r="N6" s="132"/>
      <c r="O6" s="132"/>
      <c r="P6" s="132"/>
      <c r="Q6" s="132"/>
      <c r="R6" s="132"/>
      <c r="S6" s="132"/>
      <c r="T6" s="132"/>
      <c r="U6" s="132"/>
      <c r="V6" s="132"/>
      <c r="W6" s="132"/>
      <c r="X6" s="4"/>
      <c r="Y6" s="4"/>
      <c r="Z6" s="4"/>
    </row>
    <row r="7" spans="1:27" s="248" customFormat="1" ht="15" x14ac:dyDescent="0.25">
      <c r="A7" s="250"/>
      <c r="B7" s="246" t="s">
        <v>111</v>
      </c>
      <c r="C7" s="250"/>
      <c r="D7" s="250"/>
      <c r="E7" s="250"/>
      <c r="F7" s="250"/>
      <c r="G7" s="250"/>
      <c r="H7" s="250"/>
      <c r="I7" s="250"/>
      <c r="J7" s="250"/>
      <c r="K7" s="250"/>
      <c r="L7" s="250"/>
      <c r="M7" s="250"/>
      <c r="N7" s="250"/>
      <c r="O7" s="250"/>
      <c r="P7" s="250"/>
      <c r="Q7" s="250"/>
      <c r="R7" s="250"/>
      <c r="S7" s="250"/>
      <c r="T7" s="250"/>
      <c r="U7" s="250"/>
      <c r="V7" s="250"/>
      <c r="W7" s="250"/>
      <c r="X7" s="4"/>
      <c r="Y7" s="4"/>
      <c r="Z7" s="4"/>
    </row>
    <row r="8" spans="1:27" s="248" customFormat="1" ht="48.95" customHeight="1" x14ac:dyDescent="0.25">
      <c r="A8" s="250"/>
      <c r="B8" s="249" t="s">
        <v>112</v>
      </c>
      <c r="C8" s="251" t="s">
        <v>113</v>
      </c>
      <c r="D8" s="252" t="s">
        <v>125</v>
      </c>
      <c r="E8" s="664" t="s">
        <v>1036</v>
      </c>
      <c r="F8" s="252" t="s">
        <v>119</v>
      </c>
      <c r="G8" s="252" t="s">
        <v>121</v>
      </c>
      <c r="H8" s="252" t="s">
        <v>120</v>
      </c>
      <c r="I8" s="252" t="s">
        <v>122</v>
      </c>
      <c r="J8" s="249" t="s">
        <v>114</v>
      </c>
      <c r="K8" s="249" t="s">
        <v>115</v>
      </c>
      <c r="L8" s="252" t="s">
        <v>116</v>
      </c>
      <c r="M8" s="252" t="s">
        <v>117</v>
      </c>
      <c r="N8" s="252" t="s">
        <v>118</v>
      </c>
      <c r="O8" s="249" t="s">
        <v>124</v>
      </c>
      <c r="P8" s="251" t="s">
        <v>123</v>
      </c>
      <c r="Q8" s="249" t="s">
        <v>126</v>
      </c>
      <c r="R8" s="252" t="s">
        <v>127</v>
      </c>
      <c r="S8" s="250"/>
      <c r="T8" s="250"/>
      <c r="U8" s="250"/>
      <c r="V8" s="250"/>
      <c r="W8" s="250"/>
      <c r="X8" s="4"/>
      <c r="Y8" s="4"/>
      <c r="Z8" s="4"/>
      <c r="AA8" s="4"/>
    </row>
    <row r="9" spans="1:27" s="248" customFormat="1" ht="15" x14ac:dyDescent="0.25">
      <c r="A9" s="250"/>
      <c r="B9" s="769" t="s">
        <v>1037</v>
      </c>
      <c r="C9" s="769" t="s">
        <v>1038</v>
      </c>
      <c r="D9" s="770" t="s">
        <v>1039</v>
      </c>
      <c r="E9" s="771">
        <v>20</v>
      </c>
      <c r="F9" s="770" t="s">
        <v>1040</v>
      </c>
      <c r="G9" s="772">
        <v>20</v>
      </c>
      <c r="H9" s="772">
        <f>(J9/G9)*N9</f>
        <v>25</v>
      </c>
      <c r="I9" s="772">
        <f>G9*H9</f>
        <v>500</v>
      </c>
      <c r="J9" s="772">
        <v>100</v>
      </c>
      <c r="K9" s="773" t="s">
        <v>128</v>
      </c>
      <c r="L9" s="773" t="s">
        <v>128</v>
      </c>
      <c r="M9" s="772">
        <v>100</v>
      </c>
      <c r="N9" s="769">
        <v>5</v>
      </c>
      <c r="O9" s="774">
        <f>365/35</f>
        <v>10.428571428571429</v>
      </c>
      <c r="P9" s="775">
        <f>'Inputs and eligible population'!I55</f>
        <v>0</v>
      </c>
      <c r="Q9" s="776">
        <f>'Inputs and eligible population'!J55</f>
        <v>0.2</v>
      </c>
      <c r="R9" s="777">
        <f>(((H9/E9)*P9*O9*(100%+Q9)))</f>
        <v>0</v>
      </c>
      <c r="S9" s="250"/>
      <c r="T9" s="250"/>
      <c r="U9" s="250"/>
      <c r="V9" s="250"/>
      <c r="W9" s="250"/>
      <c r="X9" s="4"/>
      <c r="Y9" s="4"/>
      <c r="Z9" s="4"/>
      <c r="AA9" s="4"/>
    </row>
    <row r="10" spans="1:27" s="248" customFormat="1" ht="15" x14ac:dyDescent="0.25">
      <c r="A10" s="250"/>
      <c r="B10" s="769" t="s">
        <v>1041</v>
      </c>
      <c r="C10" s="769" t="s">
        <v>1042</v>
      </c>
      <c r="D10" s="770" t="s">
        <v>1043</v>
      </c>
      <c r="E10" s="771">
        <v>1</v>
      </c>
      <c r="F10" s="770" t="s">
        <v>1044</v>
      </c>
      <c r="G10" s="772">
        <v>3.5</v>
      </c>
      <c r="H10" s="772">
        <f>I10/G10</f>
        <v>2.6594285714285713</v>
      </c>
      <c r="I10" s="772">
        <f>M10*N10</f>
        <v>9.3079999999999998</v>
      </c>
      <c r="J10" s="778">
        <v>1.3</v>
      </c>
      <c r="K10" s="773">
        <v>1.79</v>
      </c>
      <c r="L10" s="773" t="s">
        <v>128</v>
      </c>
      <c r="M10" s="779">
        <f>J10*K10</f>
        <v>2.327</v>
      </c>
      <c r="N10" s="769">
        <v>4</v>
      </c>
      <c r="O10" s="774">
        <f t="shared" ref="O10:O11" si="0">365/35</f>
        <v>10.428571428571429</v>
      </c>
      <c r="P10" s="775">
        <f>'Inputs and eligible population'!I56</f>
        <v>0</v>
      </c>
      <c r="Q10" s="776">
        <f>'Inputs and eligible population'!J56</f>
        <v>0.2</v>
      </c>
      <c r="R10" s="777">
        <f>(((H10/E10)*P10*O10*(100%+Q10)))</f>
        <v>0</v>
      </c>
      <c r="S10" s="250"/>
      <c r="T10" s="250"/>
      <c r="U10" s="250"/>
      <c r="V10" s="250"/>
      <c r="W10" s="250"/>
      <c r="X10" s="4"/>
      <c r="Y10" s="4"/>
      <c r="Z10" s="4"/>
      <c r="AA10" s="4"/>
    </row>
    <row r="11" spans="1:27" s="248" customFormat="1" ht="15" x14ac:dyDescent="0.25">
      <c r="A11" s="250"/>
      <c r="B11" s="769" t="s">
        <v>1045</v>
      </c>
      <c r="C11" s="769" t="s">
        <v>1046</v>
      </c>
      <c r="D11" s="770" t="s">
        <v>1039</v>
      </c>
      <c r="E11" s="771">
        <v>50</v>
      </c>
      <c r="F11" s="770" t="s">
        <v>1040</v>
      </c>
      <c r="G11" s="772">
        <v>8</v>
      </c>
      <c r="H11" s="772">
        <f>(M11*N11)/(E11*G11)</f>
        <v>0.5</v>
      </c>
      <c r="I11" s="772">
        <f>M11*N11*O11</f>
        <v>2085.7142857142858</v>
      </c>
      <c r="J11" s="772">
        <v>20</v>
      </c>
      <c r="K11" s="773" t="s">
        <v>128</v>
      </c>
      <c r="L11" s="773" t="s">
        <v>128</v>
      </c>
      <c r="M11" s="772">
        <v>20</v>
      </c>
      <c r="N11" s="769">
        <v>10</v>
      </c>
      <c r="O11" s="774">
        <f t="shared" si="0"/>
        <v>10.428571428571429</v>
      </c>
      <c r="P11" s="775">
        <f>'Inputs and eligible population'!I57</f>
        <v>0</v>
      </c>
      <c r="Q11" s="776">
        <f>'Inputs and eligible population'!J57</f>
        <v>0.2</v>
      </c>
      <c r="R11" s="777">
        <f>H11*P11*O11*(100%+Q11)</f>
        <v>0</v>
      </c>
      <c r="S11" s="250"/>
      <c r="T11" s="250"/>
      <c r="U11" s="250"/>
      <c r="V11" s="250"/>
      <c r="W11" s="250"/>
      <c r="X11" s="4"/>
      <c r="Y11" s="4"/>
      <c r="Z11" s="4"/>
      <c r="AA11" s="4"/>
    </row>
    <row r="12" spans="1:27" s="248" customFormat="1" ht="15" x14ac:dyDescent="0.25">
      <c r="A12" s="250"/>
      <c r="B12" s="781" t="s">
        <v>1047</v>
      </c>
      <c r="C12" s="253" t="s">
        <v>129</v>
      </c>
      <c r="D12" s="255"/>
      <c r="E12" s="255"/>
      <c r="F12" s="255"/>
      <c r="G12" s="255"/>
      <c r="H12" s="255"/>
      <c r="I12" s="255"/>
      <c r="J12" s="255"/>
      <c r="K12" s="255"/>
      <c r="L12" s="255"/>
      <c r="M12" s="255"/>
      <c r="N12" s="255"/>
      <c r="O12" s="255"/>
      <c r="P12" s="255"/>
      <c r="Q12" s="254"/>
      <c r="R12" s="780">
        <f>SUM(R9:R11)</f>
        <v>0</v>
      </c>
      <c r="S12" s="250"/>
      <c r="T12" s="250"/>
      <c r="U12" s="250"/>
      <c r="V12" s="250"/>
      <c r="W12" s="250"/>
      <c r="X12" s="4"/>
      <c r="Y12" s="4"/>
      <c r="Z12" s="4"/>
      <c r="AA12" s="4"/>
    </row>
    <row r="13" spans="1:27" s="248" customFormat="1" ht="15" x14ac:dyDescent="0.25">
      <c r="A13" s="250"/>
      <c r="B13" s="246"/>
      <c r="C13" s="250"/>
      <c r="D13" s="250"/>
      <c r="E13" s="250"/>
      <c r="F13" s="250"/>
      <c r="G13" s="250"/>
      <c r="H13" s="250"/>
      <c r="I13" s="250"/>
      <c r="J13" s="250"/>
      <c r="K13" s="250"/>
      <c r="L13" s="250"/>
      <c r="M13" s="250"/>
      <c r="N13" s="250"/>
      <c r="O13" s="250"/>
      <c r="P13" s="250"/>
      <c r="Q13" s="250"/>
      <c r="R13" s="250"/>
      <c r="S13" s="250"/>
      <c r="T13" s="250"/>
      <c r="U13" s="250"/>
      <c r="V13" s="250"/>
      <c r="W13" s="250"/>
      <c r="X13" s="4"/>
      <c r="Y13" s="4"/>
      <c r="Z13" s="4"/>
      <c r="AA13" s="4"/>
    </row>
    <row r="14" spans="1:27" s="248" customFormat="1" ht="15" x14ac:dyDescent="0.25">
      <c r="A14" s="250"/>
      <c r="B14" s="769" t="s">
        <v>1037</v>
      </c>
      <c r="C14" s="769" t="s">
        <v>1038</v>
      </c>
      <c r="D14" s="770" t="s">
        <v>1039</v>
      </c>
      <c r="E14" s="771">
        <v>20</v>
      </c>
      <c r="F14" s="770" t="s">
        <v>1040</v>
      </c>
      <c r="G14" s="772">
        <v>20</v>
      </c>
      <c r="H14" s="772">
        <f>J14/M14*N14</f>
        <v>5</v>
      </c>
      <c r="I14" s="772">
        <f>G14*H14</f>
        <v>100</v>
      </c>
      <c r="J14" s="772">
        <v>100</v>
      </c>
      <c r="K14" s="773" t="s">
        <v>128</v>
      </c>
      <c r="L14" s="773" t="s">
        <v>128</v>
      </c>
      <c r="M14" s="772">
        <v>100</v>
      </c>
      <c r="N14" s="769">
        <v>5</v>
      </c>
      <c r="O14" s="782">
        <f>((13.79-12)*30)/35</f>
        <v>1.5342857142857136</v>
      </c>
      <c r="P14" s="775">
        <f>'Inputs and eligible population'!I55</f>
        <v>0</v>
      </c>
      <c r="Q14" s="776">
        <f>'Inputs and eligible population'!J55</f>
        <v>0.2</v>
      </c>
      <c r="R14" s="777">
        <f>(((H14/E14)*P14*O14*(100%+Q14)))</f>
        <v>0</v>
      </c>
      <c r="S14" s="250"/>
      <c r="T14" s="250"/>
      <c r="U14" s="250"/>
      <c r="V14" s="250"/>
      <c r="W14" s="250"/>
      <c r="X14" s="4"/>
      <c r="Y14" s="4"/>
      <c r="Z14" s="4"/>
      <c r="AA14" s="4"/>
    </row>
    <row r="15" spans="1:27" s="248" customFormat="1" ht="15" x14ac:dyDescent="0.25">
      <c r="A15" s="250"/>
      <c r="B15" s="769" t="s">
        <v>1041</v>
      </c>
      <c r="C15" s="769" t="s">
        <v>1042</v>
      </c>
      <c r="D15" s="770" t="s">
        <v>1043</v>
      </c>
      <c r="E15" s="771">
        <v>1</v>
      </c>
      <c r="F15" s="770" t="s">
        <v>1044</v>
      </c>
      <c r="G15" s="772">
        <v>3.5</v>
      </c>
      <c r="H15" s="772">
        <f>I15/G15</f>
        <v>2.6594285714285713</v>
      </c>
      <c r="I15" s="772">
        <f>M15*N15</f>
        <v>9.3079999999999998</v>
      </c>
      <c r="J15" s="778">
        <v>1.3</v>
      </c>
      <c r="K15" s="773">
        <v>1.79</v>
      </c>
      <c r="L15" s="773" t="s">
        <v>128</v>
      </c>
      <c r="M15" s="779">
        <f>J15*K15</f>
        <v>2.327</v>
      </c>
      <c r="N15" s="769">
        <v>4</v>
      </c>
      <c r="O15" s="782">
        <f>((13.79-12)*30)/35</f>
        <v>1.5342857142857136</v>
      </c>
      <c r="P15" s="775">
        <f>'Inputs and eligible population'!I56</f>
        <v>0</v>
      </c>
      <c r="Q15" s="776">
        <f>'Inputs and eligible population'!J56</f>
        <v>0.2</v>
      </c>
      <c r="R15" s="777">
        <f>(((H15/E15)*P15*O15*(100%+Q15)))</f>
        <v>0</v>
      </c>
      <c r="S15" s="250"/>
      <c r="T15" s="250"/>
      <c r="U15" s="250"/>
      <c r="V15" s="250"/>
      <c r="W15" s="250"/>
      <c r="X15" s="4"/>
      <c r="Y15" s="4"/>
      <c r="Z15" s="4"/>
      <c r="AA15" s="4"/>
    </row>
    <row r="16" spans="1:27" s="248" customFormat="1" ht="15" x14ac:dyDescent="0.25">
      <c r="A16" s="250"/>
      <c r="B16" s="769" t="s">
        <v>1045</v>
      </c>
      <c r="C16" s="769" t="s">
        <v>1046</v>
      </c>
      <c r="D16" s="770" t="s">
        <v>1039</v>
      </c>
      <c r="E16" s="771">
        <v>50</v>
      </c>
      <c r="F16" s="770" t="s">
        <v>1040</v>
      </c>
      <c r="G16" s="772">
        <v>8</v>
      </c>
      <c r="H16" s="772">
        <f>(M16*N16)/(E16*G16)</f>
        <v>0.5</v>
      </c>
      <c r="I16" s="772">
        <f>M16*N16*O16</f>
        <v>306.85714285714272</v>
      </c>
      <c r="J16" s="772">
        <v>20</v>
      </c>
      <c r="K16" s="773" t="s">
        <v>128</v>
      </c>
      <c r="L16" s="773" t="s">
        <v>128</v>
      </c>
      <c r="M16" s="772">
        <v>20</v>
      </c>
      <c r="N16" s="769">
        <v>10</v>
      </c>
      <c r="O16" s="782">
        <f>((13.79-12)*30)/35</f>
        <v>1.5342857142857136</v>
      </c>
      <c r="P16" s="775">
        <f>'Inputs and eligible population'!I57</f>
        <v>0</v>
      </c>
      <c r="Q16" s="776">
        <f>'Inputs and eligible population'!J57</f>
        <v>0.2</v>
      </c>
      <c r="R16" s="777">
        <f>H16*P16*O16*(100%+Q16)</f>
        <v>0</v>
      </c>
      <c r="S16" s="250"/>
      <c r="T16" s="250"/>
      <c r="U16" s="250"/>
      <c r="V16" s="250"/>
      <c r="W16" s="250"/>
      <c r="X16" s="4"/>
      <c r="Y16" s="4"/>
      <c r="Z16" s="4"/>
      <c r="AA16" s="4"/>
    </row>
    <row r="17" spans="1:27" s="248" customFormat="1" ht="15" x14ac:dyDescent="0.25">
      <c r="A17" s="250"/>
      <c r="B17" s="781" t="s">
        <v>1048</v>
      </c>
      <c r="C17" s="253" t="s">
        <v>129</v>
      </c>
      <c r="D17" s="255"/>
      <c r="E17" s="255"/>
      <c r="F17" s="255"/>
      <c r="G17" s="255"/>
      <c r="H17" s="255"/>
      <c r="I17" s="255"/>
      <c r="J17" s="255"/>
      <c r="K17" s="255"/>
      <c r="L17" s="255"/>
      <c r="M17" s="255"/>
      <c r="N17" s="255"/>
      <c r="O17" s="255"/>
      <c r="P17" s="255"/>
      <c r="Q17" s="254"/>
      <c r="R17" s="780">
        <f>SUM(R14:R16)</f>
        <v>0</v>
      </c>
      <c r="S17" s="250"/>
      <c r="T17" s="250"/>
      <c r="U17" s="250"/>
      <c r="V17" s="250"/>
      <c r="W17" s="250"/>
      <c r="X17" s="4"/>
      <c r="Y17" s="4"/>
      <c r="Z17" s="4"/>
      <c r="AA17" s="4"/>
    </row>
    <row r="18" spans="1:27" s="248" customFormat="1" ht="15" x14ac:dyDescent="0.25">
      <c r="A18" s="250"/>
      <c r="B18" s="200"/>
      <c r="C18" s="253"/>
      <c r="D18" s="255"/>
      <c r="E18" s="255"/>
      <c r="F18" s="255"/>
      <c r="G18" s="255"/>
      <c r="H18" s="255"/>
      <c r="I18" s="255"/>
      <c r="J18" s="255"/>
      <c r="K18" s="255"/>
      <c r="L18" s="255"/>
      <c r="M18" s="255"/>
      <c r="N18" s="255"/>
      <c r="O18" s="255"/>
      <c r="P18" s="255"/>
      <c r="Q18" s="254"/>
      <c r="R18" s="665"/>
      <c r="S18" s="250"/>
      <c r="T18" s="250"/>
      <c r="U18" s="250"/>
      <c r="V18" s="250"/>
      <c r="W18" s="250"/>
      <c r="X18" s="4"/>
      <c r="Y18" s="4"/>
      <c r="Z18" s="4"/>
      <c r="AA18" s="4"/>
    </row>
    <row r="19" spans="1:27" s="248" customFormat="1" ht="15" x14ac:dyDescent="0.25">
      <c r="A19" s="250"/>
      <c r="B19" s="769" t="s">
        <v>1049</v>
      </c>
      <c r="C19" s="769" t="s">
        <v>1050</v>
      </c>
      <c r="D19" s="770" t="s">
        <v>1039</v>
      </c>
      <c r="E19" s="771">
        <v>21</v>
      </c>
      <c r="F19" s="770" t="s">
        <v>1040</v>
      </c>
      <c r="G19" s="772">
        <v>25</v>
      </c>
      <c r="H19" s="772">
        <f>(J19/G19)*N19</f>
        <v>21</v>
      </c>
      <c r="I19" s="772">
        <f>G19*H19</f>
        <v>525</v>
      </c>
      <c r="J19" s="772">
        <v>25</v>
      </c>
      <c r="K19" s="773" t="s">
        <v>128</v>
      </c>
      <c r="L19" s="773" t="s">
        <v>128</v>
      </c>
      <c r="M19" s="772">
        <v>25</v>
      </c>
      <c r="N19" s="769">
        <v>21</v>
      </c>
      <c r="O19" s="774">
        <f>365/28</f>
        <v>13.035714285714286</v>
      </c>
      <c r="P19" s="775">
        <f>'Inputs and eligible population'!I58</f>
        <v>0</v>
      </c>
      <c r="Q19" s="776">
        <f>'Inputs and eligible population'!J60</f>
        <v>0.2</v>
      </c>
      <c r="R19" s="777">
        <f>(((H19/E19)*P19*O19*(100%+Q19)))</f>
        <v>0</v>
      </c>
      <c r="S19" s="250"/>
      <c r="T19" s="250"/>
      <c r="U19" s="250"/>
      <c r="V19" s="250"/>
      <c r="W19" s="250"/>
      <c r="X19" s="4"/>
      <c r="Y19" s="4"/>
      <c r="Z19" s="4"/>
      <c r="AA19" s="4"/>
    </row>
    <row r="20" spans="1:27" s="248" customFormat="1" ht="15" x14ac:dyDescent="0.25">
      <c r="A20" s="250"/>
      <c r="B20" s="769" t="s">
        <v>1051</v>
      </c>
      <c r="C20" s="769" t="s">
        <v>1046</v>
      </c>
      <c r="D20" s="770" t="s">
        <v>1039</v>
      </c>
      <c r="E20" s="771">
        <v>50</v>
      </c>
      <c r="F20" s="770" t="s">
        <v>1040</v>
      </c>
      <c r="G20" s="772">
        <v>8</v>
      </c>
      <c r="H20" s="779">
        <f>(M20*N20)/(E20*G20)</f>
        <v>0.4</v>
      </c>
      <c r="I20" s="772">
        <f>M20*N20*O20</f>
        <v>2085.7142857142858</v>
      </c>
      <c r="J20" s="772">
        <v>40</v>
      </c>
      <c r="K20" s="773" t="s">
        <v>128</v>
      </c>
      <c r="L20" s="773" t="s">
        <v>128</v>
      </c>
      <c r="M20" s="772">
        <v>40</v>
      </c>
      <c r="N20" s="769">
        <v>4</v>
      </c>
      <c r="O20" s="774">
        <f>365/28</f>
        <v>13.035714285714286</v>
      </c>
      <c r="P20" s="775">
        <f>'Inputs and eligible population'!I57</f>
        <v>0</v>
      </c>
      <c r="Q20" s="776">
        <f>'Inputs and eligible population'!J57</f>
        <v>0.2</v>
      </c>
      <c r="R20" s="777">
        <f>H20*P20*O20*(100%+Q20)</f>
        <v>0</v>
      </c>
      <c r="S20" s="250"/>
      <c r="T20" s="250"/>
      <c r="U20" s="250"/>
      <c r="V20" s="250"/>
      <c r="W20" s="250"/>
      <c r="X20" s="4"/>
      <c r="Y20" s="4"/>
      <c r="Z20" s="4"/>
      <c r="AA20" s="4"/>
    </row>
    <row r="21" spans="1:27" s="248" customFormat="1" ht="15" x14ac:dyDescent="0.25">
      <c r="A21" s="250"/>
      <c r="B21" s="781" t="s">
        <v>1052</v>
      </c>
      <c r="C21" s="253" t="s">
        <v>129</v>
      </c>
      <c r="D21" s="255"/>
      <c r="E21" s="255"/>
      <c r="F21" s="255"/>
      <c r="G21" s="255"/>
      <c r="H21" s="255"/>
      <c r="I21" s="255"/>
      <c r="J21" s="255"/>
      <c r="K21" s="255"/>
      <c r="L21" s="255"/>
      <c r="M21" s="255"/>
      <c r="N21" s="255"/>
      <c r="O21" s="255"/>
      <c r="P21" s="255"/>
      <c r="Q21" s="254"/>
      <c r="R21" s="780">
        <f>SUM(R19:R20)</f>
        <v>0</v>
      </c>
      <c r="S21" s="250"/>
      <c r="T21" s="250"/>
      <c r="U21" s="250"/>
      <c r="V21" s="250"/>
      <c r="W21" s="250"/>
      <c r="X21" s="4"/>
      <c r="Y21" s="4"/>
      <c r="Z21" s="4"/>
      <c r="AA21" s="4"/>
    </row>
    <row r="22" spans="1:27" s="248" customFormat="1" ht="15" x14ac:dyDescent="0.25">
      <c r="A22" s="250"/>
      <c r="B22" s="200"/>
      <c r="C22" s="253"/>
      <c r="D22" s="255"/>
      <c r="E22" s="255"/>
      <c r="F22" s="255"/>
      <c r="G22" s="255"/>
      <c r="H22" s="255"/>
      <c r="I22" s="255"/>
      <c r="J22" s="255"/>
      <c r="K22" s="255"/>
      <c r="L22" s="255"/>
      <c r="M22" s="255"/>
      <c r="N22" s="255"/>
      <c r="O22" s="255"/>
      <c r="P22" s="255"/>
      <c r="Q22" s="254"/>
      <c r="R22" s="665"/>
      <c r="S22" s="250"/>
      <c r="T22" s="250"/>
      <c r="U22" s="250"/>
      <c r="V22" s="250"/>
      <c r="W22" s="250"/>
      <c r="X22" s="4"/>
      <c r="Y22" s="4"/>
      <c r="Z22" s="4"/>
      <c r="AA22" s="4"/>
    </row>
    <row r="23" spans="1:27" s="248" customFormat="1" ht="15" x14ac:dyDescent="0.25">
      <c r="A23" s="250"/>
      <c r="B23" s="769" t="s">
        <v>1053</v>
      </c>
      <c r="C23" s="769" t="s">
        <v>1054</v>
      </c>
      <c r="D23" s="770" t="s">
        <v>1055</v>
      </c>
      <c r="E23" s="771">
        <v>1</v>
      </c>
      <c r="F23" s="770" t="s">
        <v>1044</v>
      </c>
      <c r="G23" s="772">
        <v>30</v>
      </c>
      <c r="H23" s="772">
        <f>(M23*N23)/G23</f>
        <v>2.3866666666666663</v>
      </c>
      <c r="I23" s="772">
        <f>G23*H23*N23</f>
        <v>143.19999999999999</v>
      </c>
      <c r="J23" s="772">
        <v>20</v>
      </c>
      <c r="K23" s="773">
        <v>1.79</v>
      </c>
      <c r="L23" s="773" t="s">
        <v>128</v>
      </c>
      <c r="M23" s="772">
        <f>(20*K23)</f>
        <v>35.799999999999997</v>
      </c>
      <c r="N23" s="769">
        <v>2</v>
      </c>
      <c r="O23" s="774">
        <v>1</v>
      </c>
      <c r="P23" s="775">
        <f>'Inputs and eligible population'!I59</f>
        <v>0</v>
      </c>
      <c r="Q23" s="776">
        <f>'Inputs and eligible population'!J59</f>
        <v>0.2</v>
      </c>
      <c r="R23" s="777">
        <f>(((H23/E23)*P23*O23*(100%+Q23)))</f>
        <v>0</v>
      </c>
      <c r="S23" s="250"/>
      <c r="T23" s="250"/>
      <c r="U23" s="250"/>
      <c r="V23" s="250"/>
      <c r="W23" s="250"/>
      <c r="X23" s="4"/>
      <c r="Y23" s="4"/>
      <c r="Z23" s="4"/>
      <c r="AA23" s="4"/>
    </row>
    <row r="24" spans="1:27" s="248" customFormat="1" ht="15" x14ac:dyDescent="0.25">
      <c r="A24" s="250"/>
      <c r="B24" s="769" t="s">
        <v>1056</v>
      </c>
      <c r="C24" s="769" t="s">
        <v>1054</v>
      </c>
      <c r="D24" s="770" t="s">
        <v>1055</v>
      </c>
      <c r="E24" s="771">
        <v>1</v>
      </c>
      <c r="F24" s="770" t="s">
        <v>1044</v>
      </c>
      <c r="G24" s="772">
        <v>30</v>
      </c>
      <c r="H24" s="772">
        <f>(M24*N24)/G24</f>
        <v>6.444</v>
      </c>
      <c r="I24" s="772">
        <f>G24*H24*N24</f>
        <v>773.28</v>
      </c>
      <c r="J24" s="772">
        <v>27</v>
      </c>
      <c r="K24" s="773">
        <v>1.79</v>
      </c>
      <c r="L24" s="773" t="s">
        <v>128</v>
      </c>
      <c r="M24" s="772">
        <f>(27*K24)</f>
        <v>48.33</v>
      </c>
      <c r="N24" s="769">
        <v>4</v>
      </c>
      <c r="O24" s="774">
        <v>1</v>
      </c>
      <c r="P24" s="775">
        <f>'Inputs and eligible population'!I59</f>
        <v>0</v>
      </c>
      <c r="Q24" s="776">
        <f>'Inputs and eligible population'!J59</f>
        <v>0.2</v>
      </c>
      <c r="R24" s="777">
        <f>(((H24/E24)*P24*O24*(100%+Q24)))</f>
        <v>0</v>
      </c>
      <c r="S24" s="250"/>
      <c r="T24" s="250"/>
      <c r="U24" s="250"/>
      <c r="V24" s="250"/>
      <c r="W24" s="250"/>
      <c r="X24" s="4"/>
      <c r="Y24" s="4"/>
      <c r="Z24" s="4"/>
      <c r="AA24" s="4"/>
    </row>
    <row r="25" spans="1:27" s="248" customFormat="1" ht="15" x14ac:dyDescent="0.25">
      <c r="A25" s="250"/>
      <c r="B25" s="769" t="s">
        <v>1057</v>
      </c>
      <c r="C25" s="769" t="s">
        <v>1054</v>
      </c>
      <c r="D25" s="770" t="s">
        <v>1055</v>
      </c>
      <c r="E25" s="769">
        <v>1</v>
      </c>
      <c r="F25" s="770" t="s">
        <v>1044</v>
      </c>
      <c r="G25" s="772">
        <v>30</v>
      </c>
      <c r="H25" s="772">
        <f>(M25*N25)/G25</f>
        <v>9.6660000000000004</v>
      </c>
      <c r="I25" s="772">
        <f>G25*H25*N25</f>
        <v>1739.88</v>
      </c>
      <c r="J25" s="772">
        <v>27</v>
      </c>
      <c r="K25" s="773">
        <v>1.79</v>
      </c>
      <c r="L25" s="773" t="s">
        <v>128</v>
      </c>
      <c r="M25" s="772">
        <f>((27*K25))</f>
        <v>48.33</v>
      </c>
      <c r="N25" s="769">
        <v>6</v>
      </c>
      <c r="O25" s="774">
        <v>11</v>
      </c>
      <c r="P25" s="777">
        <f>'Inputs and eligible population'!I59</f>
        <v>0</v>
      </c>
      <c r="Q25" s="776">
        <f>'Inputs and eligible population'!J59</f>
        <v>0.2</v>
      </c>
      <c r="R25" s="777">
        <f>(((H25/E25)*P25*O25*(100%+Q25)))</f>
        <v>0</v>
      </c>
      <c r="S25" s="250"/>
      <c r="T25" s="250"/>
      <c r="U25" s="250"/>
      <c r="V25" s="250"/>
      <c r="W25" s="250"/>
      <c r="X25" s="4"/>
      <c r="Y25" s="4"/>
      <c r="Z25" s="4"/>
      <c r="AA25" s="4"/>
    </row>
    <row r="26" spans="1:27" s="248" customFormat="1" ht="15" x14ac:dyDescent="0.25">
      <c r="A26" s="250"/>
      <c r="B26" s="769" t="s">
        <v>1058</v>
      </c>
      <c r="C26" s="769" t="s">
        <v>1054</v>
      </c>
      <c r="D26" s="770" t="s">
        <v>1055</v>
      </c>
      <c r="E26" s="769">
        <v>1</v>
      </c>
      <c r="F26" s="770" t="s">
        <v>1044</v>
      </c>
      <c r="G26" s="772">
        <v>30</v>
      </c>
      <c r="H26" s="772">
        <f>(M26*N26)/G26</f>
        <v>6.444</v>
      </c>
      <c r="I26" s="772">
        <f>G26*H26*N26</f>
        <v>773.28</v>
      </c>
      <c r="J26" s="772">
        <v>27</v>
      </c>
      <c r="K26" s="773">
        <v>1.79</v>
      </c>
      <c r="L26" s="773" t="s">
        <v>128</v>
      </c>
      <c r="M26" s="772">
        <f>((27*K26))</f>
        <v>48.33</v>
      </c>
      <c r="N26" s="769">
        <v>4</v>
      </c>
      <c r="O26" s="774">
        <v>1</v>
      </c>
      <c r="P26" s="777">
        <f>'Inputs and eligible population'!I59</f>
        <v>0</v>
      </c>
      <c r="Q26" s="776">
        <f>'Inputs and eligible population'!J59</f>
        <v>0.2</v>
      </c>
      <c r="R26" s="777">
        <f>(((H26/E26)*P26*O26*(100%+Q26)))</f>
        <v>0</v>
      </c>
      <c r="S26" s="250"/>
      <c r="T26" s="250"/>
      <c r="U26" s="250"/>
      <c r="V26" s="250"/>
      <c r="W26" s="250"/>
      <c r="X26" s="4"/>
      <c r="Y26" s="4"/>
      <c r="Z26" s="4"/>
      <c r="AA26" s="4"/>
    </row>
    <row r="27" spans="1:27" s="248" customFormat="1" ht="15" x14ac:dyDescent="0.25">
      <c r="A27" s="250"/>
      <c r="B27" s="769" t="s">
        <v>1059</v>
      </c>
      <c r="C27" s="769" t="s">
        <v>1046</v>
      </c>
      <c r="D27" s="770" t="s">
        <v>1039</v>
      </c>
      <c r="E27" s="769">
        <v>50</v>
      </c>
      <c r="F27" s="770" t="s">
        <v>1040</v>
      </c>
      <c r="G27" s="772">
        <v>8</v>
      </c>
      <c r="H27" s="779">
        <f>(M27*N27)/(E27*G27)</f>
        <v>0.4</v>
      </c>
      <c r="I27" s="772">
        <f>M27*N27*O27</f>
        <v>2080</v>
      </c>
      <c r="J27" s="772">
        <v>40</v>
      </c>
      <c r="K27" s="773" t="s">
        <v>128</v>
      </c>
      <c r="L27" s="773" t="s">
        <v>128</v>
      </c>
      <c r="M27" s="772">
        <v>40</v>
      </c>
      <c r="N27" s="769">
        <v>4</v>
      </c>
      <c r="O27" s="774">
        <v>13</v>
      </c>
      <c r="P27" s="777">
        <f>'Inputs and eligible population'!I57</f>
        <v>0</v>
      </c>
      <c r="Q27" s="776">
        <f>'Inputs and eligible population'!J60</f>
        <v>0.2</v>
      </c>
      <c r="R27" s="777">
        <f>H27*P27*O27*(100%+Q27)</f>
        <v>0</v>
      </c>
      <c r="S27" s="250"/>
      <c r="T27" s="250"/>
      <c r="U27" s="250"/>
      <c r="V27" s="250"/>
      <c r="W27" s="250"/>
      <c r="X27" s="4"/>
      <c r="Y27" s="4"/>
      <c r="Z27" s="4"/>
      <c r="AA27" s="4"/>
    </row>
    <row r="28" spans="1:27" s="248" customFormat="1" ht="15" x14ac:dyDescent="0.25">
      <c r="A28" s="250"/>
      <c r="B28" s="769" t="s">
        <v>1049</v>
      </c>
      <c r="C28" s="769" t="s">
        <v>1050</v>
      </c>
      <c r="D28" s="770" t="s">
        <v>1039</v>
      </c>
      <c r="E28" s="771">
        <v>21</v>
      </c>
      <c r="F28" s="770" t="s">
        <v>1040</v>
      </c>
      <c r="G28" s="772">
        <v>25</v>
      </c>
      <c r="H28" s="772">
        <f>(J28/G28)*N28</f>
        <v>21</v>
      </c>
      <c r="I28" s="772">
        <f>G28*H28</f>
        <v>525</v>
      </c>
      <c r="J28" s="772">
        <v>25</v>
      </c>
      <c r="K28" s="773" t="s">
        <v>128</v>
      </c>
      <c r="L28" s="773" t="s">
        <v>128</v>
      </c>
      <c r="M28" s="772">
        <v>25</v>
      </c>
      <c r="N28" s="769">
        <v>21</v>
      </c>
      <c r="O28" s="774">
        <f>365/28</f>
        <v>13.035714285714286</v>
      </c>
      <c r="P28" s="777">
        <f>'Inputs and eligible population'!I58</f>
        <v>0</v>
      </c>
      <c r="Q28" s="776">
        <f>'Inputs and eligible population'!J61</f>
        <v>0.2</v>
      </c>
      <c r="R28" s="777">
        <f>(((H28/E28)*P28*O28*(100%+Q28)))</f>
        <v>0</v>
      </c>
      <c r="S28" s="250"/>
      <c r="T28" s="250"/>
      <c r="U28" s="250"/>
      <c r="V28" s="250"/>
      <c r="W28" s="250"/>
      <c r="X28" s="4"/>
      <c r="Y28" s="4"/>
      <c r="Z28" s="4"/>
      <c r="AA28" s="4"/>
    </row>
    <row r="29" spans="1:27" s="248" customFormat="1" ht="15" x14ac:dyDescent="0.25">
      <c r="A29" s="250"/>
      <c r="B29" s="781" t="s">
        <v>1060</v>
      </c>
      <c r="C29" s="253" t="s">
        <v>129</v>
      </c>
      <c r="D29" s="255"/>
      <c r="E29" s="255"/>
      <c r="F29" s="255"/>
      <c r="G29" s="255"/>
      <c r="H29" s="255"/>
      <c r="I29" s="255"/>
      <c r="J29" s="255"/>
      <c r="K29" s="255"/>
      <c r="L29" s="255"/>
      <c r="M29" s="255"/>
      <c r="N29" s="255"/>
      <c r="O29" s="255"/>
      <c r="P29" s="255"/>
      <c r="Q29" s="254"/>
      <c r="R29" s="780">
        <f>SUM(R23:R28)</f>
        <v>0</v>
      </c>
      <c r="S29" s="250"/>
      <c r="T29" s="250"/>
      <c r="U29" s="250"/>
      <c r="V29" s="250"/>
      <c r="W29" s="250"/>
      <c r="X29" s="4"/>
      <c r="Y29" s="4"/>
      <c r="Z29" s="4"/>
      <c r="AA29" s="4"/>
    </row>
    <row r="30" spans="1:27" s="248" customFormat="1" ht="15" x14ac:dyDescent="0.25">
      <c r="A30" s="250"/>
      <c r="B30" s="246"/>
      <c r="C30" s="250"/>
      <c r="D30" s="250"/>
      <c r="E30" s="250"/>
      <c r="F30" s="250"/>
      <c r="G30" s="250"/>
      <c r="H30" s="250"/>
      <c r="I30" s="250"/>
      <c r="J30" s="250"/>
      <c r="K30" s="250"/>
      <c r="L30" s="250"/>
      <c r="M30" s="250"/>
      <c r="N30" s="250"/>
      <c r="O30" s="250"/>
      <c r="P30" s="250"/>
      <c r="Q30" s="250"/>
      <c r="R30" s="250"/>
      <c r="S30" s="250"/>
      <c r="T30" s="250"/>
      <c r="U30" s="250"/>
      <c r="V30" s="250"/>
      <c r="W30" s="250"/>
      <c r="X30" s="4"/>
      <c r="Y30" s="4"/>
      <c r="Z30" s="4"/>
      <c r="AA30" s="4"/>
    </row>
    <row r="31" spans="1:27" s="248" customFormat="1" ht="15" x14ac:dyDescent="0.25">
      <c r="A31" s="250"/>
      <c r="B31" s="769" t="s">
        <v>1061</v>
      </c>
      <c r="C31" s="769" t="s">
        <v>1054</v>
      </c>
      <c r="D31" s="770" t="s">
        <v>1055</v>
      </c>
      <c r="E31" s="771">
        <v>1</v>
      </c>
      <c r="F31" s="770" t="s">
        <v>1044</v>
      </c>
      <c r="G31" s="772">
        <v>30</v>
      </c>
      <c r="H31" s="772">
        <f>(M31*N31)/G31</f>
        <v>6.444</v>
      </c>
      <c r="I31" s="772">
        <f>G31*H31*N31</f>
        <v>773.28</v>
      </c>
      <c r="J31" s="772">
        <v>27</v>
      </c>
      <c r="K31" s="773">
        <v>1.79</v>
      </c>
      <c r="L31" s="773" t="s">
        <v>128</v>
      </c>
      <c r="M31" s="772">
        <f>((27*K31))</f>
        <v>48.33</v>
      </c>
      <c r="N31" s="769">
        <v>4</v>
      </c>
      <c r="O31" s="782">
        <v>1</v>
      </c>
      <c r="P31" s="775">
        <f>'Inputs and eligible population'!I59</f>
        <v>0</v>
      </c>
      <c r="Q31" s="776">
        <f>'Inputs and eligible population'!J59</f>
        <v>0.2</v>
      </c>
      <c r="R31" s="777">
        <f>(((H31/E31)*P31*O31*(100%+Q31)))</f>
        <v>0</v>
      </c>
      <c r="S31" s="250"/>
      <c r="T31" s="250"/>
      <c r="U31" s="250"/>
      <c r="V31" s="250"/>
      <c r="W31" s="250"/>
      <c r="X31" s="4"/>
      <c r="Y31" s="4"/>
      <c r="Z31" s="4"/>
      <c r="AA31" s="4"/>
    </row>
    <row r="32" spans="1:27" s="248" customFormat="1" ht="15" x14ac:dyDescent="0.25">
      <c r="A32" s="250"/>
      <c r="B32" s="769" t="s">
        <v>1059</v>
      </c>
      <c r="C32" s="769" t="s">
        <v>1046</v>
      </c>
      <c r="D32" s="770" t="s">
        <v>1039</v>
      </c>
      <c r="E32" s="771">
        <v>50</v>
      </c>
      <c r="F32" s="770" t="s">
        <v>1040</v>
      </c>
      <c r="G32" s="772">
        <v>8</v>
      </c>
      <c r="H32" s="772">
        <f>(M32*N32)/(E32*G32)</f>
        <v>0.4</v>
      </c>
      <c r="I32" s="772">
        <f>M32*N32*O32</f>
        <v>1440</v>
      </c>
      <c r="J32" s="772">
        <v>40</v>
      </c>
      <c r="K32" s="773" t="s">
        <v>128</v>
      </c>
      <c r="L32" s="773" t="s">
        <v>128</v>
      </c>
      <c r="M32" s="772">
        <v>40</v>
      </c>
      <c r="N32" s="769">
        <v>4</v>
      </c>
      <c r="O32" s="782">
        <v>9</v>
      </c>
      <c r="P32" s="775">
        <f>'Inputs and eligible population'!I57</f>
        <v>0</v>
      </c>
      <c r="Q32" s="776">
        <f>'Inputs and eligible population'!J57</f>
        <v>0.2</v>
      </c>
      <c r="R32" s="777">
        <f>H32*P32*O32*(100%+Q32)</f>
        <v>0</v>
      </c>
      <c r="S32" s="250"/>
      <c r="T32" s="250"/>
      <c r="U32" s="250"/>
      <c r="V32" s="250"/>
      <c r="W32" s="250"/>
      <c r="X32" s="4"/>
      <c r="Y32" s="4"/>
      <c r="Z32" s="4"/>
      <c r="AA32" s="4"/>
    </row>
    <row r="33" spans="1:27" s="248" customFormat="1" ht="15" x14ac:dyDescent="0.25">
      <c r="A33" s="250"/>
      <c r="B33" s="769" t="s">
        <v>1049</v>
      </c>
      <c r="C33" s="769" t="s">
        <v>1050</v>
      </c>
      <c r="D33" s="770" t="s">
        <v>1039</v>
      </c>
      <c r="E33" s="771">
        <v>21</v>
      </c>
      <c r="F33" s="770" t="s">
        <v>1040</v>
      </c>
      <c r="G33" s="772">
        <v>25</v>
      </c>
      <c r="H33" s="772">
        <f>(J33/G33)*N33</f>
        <v>21</v>
      </c>
      <c r="I33" s="772">
        <f>G33*H33</f>
        <v>525</v>
      </c>
      <c r="J33" s="772">
        <v>25</v>
      </c>
      <c r="K33" s="773" t="s">
        <v>128</v>
      </c>
      <c r="L33" s="773" t="s">
        <v>128</v>
      </c>
      <c r="M33" s="772">
        <v>25</v>
      </c>
      <c r="N33" s="769">
        <v>21</v>
      </c>
      <c r="O33" s="774">
        <v>9</v>
      </c>
      <c r="P33" s="775">
        <f>'Inputs and eligible population'!I58</f>
        <v>0</v>
      </c>
      <c r="Q33" s="776">
        <f>'Inputs and eligible population'!J58</f>
        <v>0.2</v>
      </c>
      <c r="R33" s="777">
        <f>(((H33/E33)*P33*O33*(100%+Q33)))</f>
        <v>0</v>
      </c>
      <c r="S33" s="250"/>
      <c r="T33" s="250"/>
      <c r="U33" s="250"/>
      <c r="V33" s="250"/>
      <c r="W33" s="250"/>
      <c r="X33" s="4"/>
      <c r="Y33" s="4"/>
      <c r="Z33" s="4"/>
      <c r="AA33" s="4"/>
    </row>
    <row r="34" spans="1:27" s="248" customFormat="1" ht="15" x14ac:dyDescent="0.25">
      <c r="A34" s="250"/>
      <c r="B34" s="781" t="s">
        <v>1062</v>
      </c>
      <c r="C34" s="253" t="s">
        <v>129</v>
      </c>
      <c r="D34" s="255"/>
      <c r="E34" s="255"/>
      <c r="F34" s="255"/>
      <c r="G34" s="255"/>
      <c r="H34" s="255"/>
      <c r="I34" s="255"/>
      <c r="J34" s="255"/>
      <c r="K34" s="255"/>
      <c r="L34" s="255"/>
      <c r="M34" s="255"/>
      <c r="N34" s="255"/>
      <c r="O34" s="255"/>
      <c r="P34" s="255"/>
      <c r="Q34" s="254"/>
      <c r="R34" s="780">
        <f>SUM(R31:R32)</f>
        <v>0</v>
      </c>
      <c r="S34" s="250"/>
      <c r="T34" s="250"/>
      <c r="U34" s="250"/>
      <c r="V34" s="250"/>
      <c r="W34" s="250"/>
      <c r="X34" s="4"/>
      <c r="Y34" s="4"/>
      <c r="Z34" s="4"/>
      <c r="AA34" s="4"/>
    </row>
    <row r="35" spans="1:27" s="248" customFormat="1" ht="15" x14ac:dyDescent="0.25">
      <c r="A35" s="250"/>
      <c r="B35" s="200"/>
      <c r="C35" s="253"/>
      <c r="D35" s="255"/>
      <c r="E35" s="255"/>
      <c r="F35" s="255"/>
      <c r="G35" s="255"/>
      <c r="H35" s="255"/>
      <c r="I35" s="255"/>
      <c r="J35" s="255"/>
      <c r="K35" s="255"/>
      <c r="L35" s="255"/>
      <c r="M35" s="255"/>
      <c r="N35" s="255"/>
      <c r="O35" s="255"/>
      <c r="P35" s="255"/>
      <c r="Q35" s="254"/>
      <c r="R35" s="665"/>
      <c r="S35" s="250"/>
      <c r="T35" s="250"/>
      <c r="U35" s="250"/>
      <c r="V35" s="250"/>
      <c r="W35" s="250"/>
      <c r="X35" s="4"/>
      <c r="Y35" s="4"/>
      <c r="Z35" s="4"/>
      <c r="AA35" s="4"/>
    </row>
    <row r="36" spans="1:27" s="248" customFormat="1" ht="15" x14ac:dyDescent="0.25">
      <c r="A36" s="250"/>
      <c r="B36" s="769" t="s">
        <v>1053</v>
      </c>
      <c r="C36" s="769" t="s">
        <v>1054</v>
      </c>
      <c r="D36" s="770" t="s">
        <v>1055</v>
      </c>
      <c r="E36" s="771">
        <v>1</v>
      </c>
      <c r="F36" s="770" t="s">
        <v>1044</v>
      </c>
      <c r="G36" s="772">
        <v>30</v>
      </c>
      <c r="H36" s="772">
        <f>(M36*N36)/G36</f>
        <v>2.3866666666666663</v>
      </c>
      <c r="I36" s="772">
        <f>G36*H36*N36</f>
        <v>143.19999999999999</v>
      </c>
      <c r="J36" s="772">
        <v>20</v>
      </c>
      <c r="K36" s="773">
        <v>1.79</v>
      </c>
      <c r="L36" s="773" t="s">
        <v>128</v>
      </c>
      <c r="M36" s="772">
        <f>(J36*K36)</f>
        <v>35.799999999999997</v>
      </c>
      <c r="N36" s="769">
        <v>2</v>
      </c>
      <c r="O36" s="774">
        <v>1</v>
      </c>
      <c r="P36" s="775">
        <f>'Inputs and eligible population'!I59</f>
        <v>0</v>
      </c>
      <c r="Q36" s="776">
        <f>'Inputs and eligible population'!J59</f>
        <v>0.2</v>
      </c>
      <c r="R36" s="777">
        <f>(((H36/E36)*P36*O36*(100%+Q36)))</f>
        <v>0</v>
      </c>
      <c r="S36" s="250"/>
      <c r="T36" s="250"/>
      <c r="U36" s="250"/>
      <c r="V36" s="250"/>
      <c r="W36" s="250"/>
      <c r="X36" s="4"/>
      <c r="Y36" s="4"/>
      <c r="Z36" s="4"/>
      <c r="AA36" s="4"/>
    </row>
    <row r="37" spans="1:27" s="248" customFormat="1" ht="15" x14ac:dyDescent="0.25">
      <c r="A37" s="250"/>
      <c r="B37" s="769" t="s">
        <v>1063</v>
      </c>
      <c r="C37" s="769" t="s">
        <v>1054</v>
      </c>
      <c r="D37" s="770" t="s">
        <v>1055</v>
      </c>
      <c r="E37" s="771">
        <v>1</v>
      </c>
      <c r="F37" s="770" t="s">
        <v>1044</v>
      </c>
      <c r="G37" s="772">
        <v>30</v>
      </c>
      <c r="H37" s="772">
        <f>(M37*N37)/G37</f>
        <v>13.365333333333334</v>
      </c>
      <c r="I37" s="772">
        <f>G37*H37*N37</f>
        <v>1603.8400000000001</v>
      </c>
      <c r="J37" s="772">
        <v>56</v>
      </c>
      <c r="K37" s="773">
        <v>1.79</v>
      </c>
      <c r="L37" s="773" t="s">
        <v>128</v>
      </c>
      <c r="M37" s="772">
        <f>(56*K37)</f>
        <v>100.24000000000001</v>
      </c>
      <c r="N37" s="769">
        <v>4</v>
      </c>
      <c r="O37" s="774">
        <v>1</v>
      </c>
      <c r="P37" s="775">
        <f>'Inputs and eligible population'!I59</f>
        <v>0</v>
      </c>
      <c r="Q37" s="776">
        <f>'Inputs and eligible population'!J59</f>
        <v>0.2</v>
      </c>
      <c r="R37" s="777">
        <f>(((H37/E37)*P37*O37*(100%+Q37)))</f>
        <v>0</v>
      </c>
      <c r="S37" s="250"/>
      <c r="T37" s="250"/>
      <c r="U37" s="250"/>
      <c r="V37" s="250"/>
      <c r="W37" s="250"/>
      <c r="X37" s="4"/>
      <c r="Y37" s="4"/>
      <c r="Z37" s="4"/>
      <c r="AA37" s="4"/>
    </row>
    <row r="38" spans="1:27" s="248" customFormat="1" ht="15" x14ac:dyDescent="0.25">
      <c r="A38" s="250"/>
      <c r="B38" s="769" t="s">
        <v>1064</v>
      </c>
      <c r="C38" s="769" t="s">
        <v>1054</v>
      </c>
      <c r="D38" s="770" t="s">
        <v>1055</v>
      </c>
      <c r="E38" s="769">
        <v>1</v>
      </c>
      <c r="F38" s="770" t="s">
        <v>1044</v>
      </c>
      <c r="G38" s="772">
        <v>30</v>
      </c>
      <c r="H38" s="772">
        <f>(M38*N38)/G38</f>
        <v>20.048000000000002</v>
      </c>
      <c r="I38" s="772">
        <f>G38*H38*N38</f>
        <v>3608.6400000000003</v>
      </c>
      <c r="J38" s="772">
        <v>56</v>
      </c>
      <c r="K38" s="773">
        <v>1.79</v>
      </c>
      <c r="L38" s="773" t="s">
        <v>128</v>
      </c>
      <c r="M38" s="772">
        <f>((56*K38))</f>
        <v>100.24000000000001</v>
      </c>
      <c r="N38" s="769">
        <v>6</v>
      </c>
      <c r="O38" s="774">
        <v>11</v>
      </c>
      <c r="P38" s="777">
        <f>'Inputs and eligible population'!I59</f>
        <v>0</v>
      </c>
      <c r="Q38" s="776">
        <f>'Inputs and eligible population'!J59</f>
        <v>0.2</v>
      </c>
      <c r="R38" s="777">
        <f>(((H38/E38)*P38*O38*(100%+Q38)))</f>
        <v>0</v>
      </c>
      <c r="S38" s="250"/>
      <c r="T38" s="250"/>
      <c r="U38" s="250"/>
      <c r="V38" s="250"/>
      <c r="W38" s="250"/>
      <c r="X38" s="4"/>
      <c r="Y38" s="4"/>
      <c r="Z38" s="4"/>
      <c r="AA38" s="4"/>
    </row>
    <row r="39" spans="1:27" s="248" customFormat="1" ht="15" x14ac:dyDescent="0.25">
      <c r="A39" s="250"/>
      <c r="B39" s="769" t="s">
        <v>1059</v>
      </c>
      <c r="C39" s="769" t="s">
        <v>1046</v>
      </c>
      <c r="D39" s="770" t="s">
        <v>1039</v>
      </c>
      <c r="E39" s="769">
        <v>50</v>
      </c>
      <c r="F39" s="770" t="s">
        <v>1040</v>
      </c>
      <c r="G39" s="772">
        <v>8</v>
      </c>
      <c r="H39" s="772">
        <f>(M39*N39)/(E39*G39)</f>
        <v>0.4</v>
      </c>
      <c r="I39" s="772">
        <f>M39*N39*O39</f>
        <v>2080</v>
      </c>
      <c r="J39" s="772">
        <v>40</v>
      </c>
      <c r="K39" s="773" t="s">
        <v>128</v>
      </c>
      <c r="L39" s="773" t="s">
        <v>128</v>
      </c>
      <c r="M39" s="772">
        <v>40</v>
      </c>
      <c r="N39" s="769">
        <v>4</v>
      </c>
      <c r="O39" s="774">
        <v>13</v>
      </c>
      <c r="P39" s="777">
        <f>'Inputs and eligible population'!I57</f>
        <v>0</v>
      </c>
      <c r="Q39" s="776">
        <f>'Inputs and eligible population'!J57</f>
        <v>0.2</v>
      </c>
      <c r="R39" s="777">
        <f>H39*P39*O39*(100%+Q39)</f>
        <v>0</v>
      </c>
      <c r="S39" s="250"/>
      <c r="T39" s="250"/>
      <c r="U39" s="250"/>
      <c r="V39" s="250"/>
      <c r="W39" s="250"/>
      <c r="X39" s="4"/>
      <c r="Y39" s="4"/>
      <c r="Z39" s="4"/>
      <c r="AA39" s="4"/>
    </row>
    <row r="40" spans="1:27" s="248" customFormat="1" ht="15" x14ac:dyDescent="0.25">
      <c r="A40" s="250"/>
      <c r="B40" s="781" t="s">
        <v>1065</v>
      </c>
      <c r="C40" s="253" t="s">
        <v>129</v>
      </c>
      <c r="D40" s="255"/>
      <c r="E40" s="255"/>
      <c r="F40" s="255"/>
      <c r="G40" s="255"/>
      <c r="H40" s="255"/>
      <c r="I40" s="255"/>
      <c r="J40" s="255"/>
      <c r="K40" s="255"/>
      <c r="L40" s="255"/>
      <c r="M40" s="255"/>
      <c r="N40" s="255"/>
      <c r="O40" s="255"/>
      <c r="P40" s="255"/>
      <c r="Q40" s="254"/>
      <c r="R40" s="780">
        <f>SUM(R36:R39)</f>
        <v>0</v>
      </c>
      <c r="S40" s="250"/>
      <c r="T40" s="250"/>
      <c r="U40" s="250"/>
      <c r="V40" s="250"/>
      <c r="W40" s="250"/>
      <c r="X40" s="4"/>
      <c r="Y40" s="4"/>
      <c r="Z40" s="4"/>
      <c r="AA40" s="4"/>
    </row>
    <row r="41" spans="1:27" s="248" customFormat="1" ht="15" x14ac:dyDescent="0.25">
      <c r="A41" s="250"/>
      <c r="B41" s="246"/>
      <c r="C41" s="250"/>
      <c r="D41" s="250"/>
      <c r="E41" s="250"/>
      <c r="F41" s="250"/>
      <c r="G41" s="250"/>
      <c r="H41" s="250"/>
      <c r="I41" s="250"/>
      <c r="J41" s="250"/>
      <c r="K41" s="250"/>
      <c r="L41" s="250"/>
      <c r="M41" s="250"/>
      <c r="N41" s="250"/>
      <c r="O41" s="250"/>
      <c r="P41" s="250"/>
      <c r="Q41" s="250"/>
      <c r="R41" s="250"/>
      <c r="S41" s="250"/>
      <c r="T41" s="250"/>
      <c r="U41" s="250"/>
      <c r="V41" s="250"/>
      <c r="W41" s="250"/>
      <c r="X41" s="4"/>
      <c r="Y41" s="4"/>
      <c r="Z41" s="4"/>
      <c r="AA41" s="4"/>
    </row>
    <row r="42" spans="1:27" s="248" customFormat="1" ht="15" x14ac:dyDescent="0.25">
      <c r="A42" s="250"/>
      <c r="B42" s="769" t="s">
        <v>1064</v>
      </c>
      <c r="C42" s="769" t="s">
        <v>1054</v>
      </c>
      <c r="D42" s="770" t="s">
        <v>1055</v>
      </c>
      <c r="E42" s="771">
        <v>1</v>
      </c>
      <c r="F42" s="770" t="s">
        <v>1044</v>
      </c>
      <c r="G42" s="772">
        <v>30</v>
      </c>
      <c r="H42" s="772">
        <f>(M42*N42)/G42</f>
        <v>20.048000000000002</v>
      </c>
      <c r="I42" s="772">
        <f>G42*H42*N42</f>
        <v>3608.6400000000003</v>
      </c>
      <c r="J42" s="772">
        <v>56</v>
      </c>
      <c r="K42" s="773">
        <v>1.79</v>
      </c>
      <c r="L42" s="773" t="s">
        <v>128</v>
      </c>
      <c r="M42" s="772">
        <f>((56*K42))</f>
        <v>100.24000000000001</v>
      </c>
      <c r="N42" s="769">
        <v>6</v>
      </c>
      <c r="O42" s="782">
        <f>((18.62-12)*30)/28</f>
        <v>7.0928571428571434</v>
      </c>
      <c r="P42" s="775">
        <f>'Inputs and eligible population'!I59</f>
        <v>0</v>
      </c>
      <c r="Q42" s="776">
        <f>'Inputs and eligible population'!J59</f>
        <v>0.2</v>
      </c>
      <c r="R42" s="777">
        <f>(((H42/E42)*P42*O42*(100%+Q42)))</f>
        <v>0</v>
      </c>
      <c r="S42" s="250"/>
      <c r="T42" s="250"/>
      <c r="U42" s="250"/>
      <c r="V42" s="250"/>
      <c r="W42" s="250"/>
      <c r="X42" s="4"/>
      <c r="Y42" s="4"/>
      <c r="Z42" s="4"/>
      <c r="AA42" s="4"/>
    </row>
    <row r="43" spans="1:27" s="248" customFormat="1" ht="15" x14ac:dyDescent="0.25">
      <c r="A43" s="250"/>
      <c r="B43" s="769" t="s">
        <v>1059</v>
      </c>
      <c r="C43" s="769" t="s">
        <v>1046</v>
      </c>
      <c r="D43" s="770" t="s">
        <v>1039</v>
      </c>
      <c r="E43" s="771">
        <v>50</v>
      </c>
      <c r="F43" s="770" t="s">
        <v>1040</v>
      </c>
      <c r="G43" s="772">
        <v>8</v>
      </c>
      <c r="H43" s="772">
        <f>(M43*N43)/(E43*G43)</f>
        <v>0.4</v>
      </c>
      <c r="I43" s="772">
        <f>M43*N43*O43</f>
        <v>1134.8571428571429</v>
      </c>
      <c r="J43" s="772">
        <v>40</v>
      </c>
      <c r="K43" s="773" t="s">
        <v>128</v>
      </c>
      <c r="L43" s="773" t="s">
        <v>128</v>
      </c>
      <c r="M43" s="772">
        <v>40</v>
      </c>
      <c r="N43" s="769">
        <v>4</v>
      </c>
      <c r="O43" s="782">
        <f>((18.62-12)*30)/28</f>
        <v>7.0928571428571434</v>
      </c>
      <c r="P43" s="775">
        <f>'Inputs and eligible population'!I57</f>
        <v>0</v>
      </c>
      <c r="Q43" s="776">
        <f>'Inputs and eligible population'!J57</f>
        <v>0.2</v>
      </c>
      <c r="R43" s="777">
        <f>H43*P43*O43*(100%+Q43)</f>
        <v>0</v>
      </c>
      <c r="S43" s="250"/>
      <c r="T43" s="250"/>
      <c r="U43" s="250"/>
      <c r="V43" s="250"/>
      <c r="W43" s="250"/>
      <c r="X43" s="4"/>
      <c r="Y43" s="4"/>
      <c r="Z43" s="4"/>
      <c r="AA43" s="4"/>
    </row>
    <row r="44" spans="1:27" s="248" customFormat="1" ht="15" x14ac:dyDescent="0.25">
      <c r="A44" s="250"/>
      <c r="B44" s="781" t="s">
        <v>1066</v>
      </c>
      <c r="C44" s="253" t="s">
        <v>129</v>
      </c>
      <c r="D44" s="255"/>
      <c r="E44" s="255"/>
      <c r="F44" s="255"/>
      <c r="G44" s="255"/>
      <c r="H44" s="255"/>
      <c r="I44" s="255"/>
      <c r="J44" s="255"/>
      <c r="K44" s="255"/>
      <c r="L44" s="255"/>
      <c r="M44" s="255"/>
      <c r="N44" s="255"/>
      <c r="O44" s="255"/>
      <c r="P44" s="255"/>
      <c r="Q44" s="254"/>
      <c r="R44" s="780">
        <f>SUM(R42:R43)</f>
        <v>0</v>
      </c>
      <c r="S44" s="250"/>
      <c r="T44" s="250"/>
      <c r="U44" s="250"/>
      <c r="V44" s="250"/>
      <c r="W44" s="250"/>
      <c r="X44" s="4"/>
      <c r="Y44" s="4"/>
      <c r="Z44" s="4"/>
      <c r="AA44" s="4"/>
    </row>
    <row r="45" spans="1:27" s="248" customFormat="1" ht="15" x14ac:dyDescent="0.25">
      <c r="A45" s="250"/>
      <c r="B45" s="250"/>
      <c r="C45" s="250"/>
      <c r="D45" s="250"/>
      <c r="E45" s="250"/>
      <c r="F45" s="250"/>
      <c r="G45" s="250"/>
      <c r="H45" s="250"/>
      <c r="I45" s="250"/>
      <c r="J45" s="250"/>
      <c r="K45" s="250"/>
      <c r="L45" s="250"/>
      <c r="M45" s="250"/>
      <c r="N45" s="250"/>
      <c r="O45" s="250"/>
      <c r="P45" s="250"/>
      <c r="Q45" s="250"/>
      <c r="R45" s="250"/>
      <c r="S45" s="250"/>
      <c r="T45" s="250"/>
      <c r="U45" s="250"/>
      <c r="V45" s="250"/>
      <c r="W45" s="250"/>
      <c r="X45" s="4"/>
      <c r="Y45" s="4"/>
      <c r="Z45" s="4"/>
      <c r="AA45" s="4"/>
    </row>
    <row r="46" spans="1:27" s="248" customFormat="1" ht="15" x14ac:dyDescent="0.25">
      <c r="A46" s="250"/>
      <c r="B46" s="769" t="s">
        <v>1067</v>
      </c>
      <c r="C46" s="769" t="s">
        <v>1206</v>
      </c>
      <c r="D46" s="770" t="s">
        <v>1043</v>
      </c>
      <c r="E46" s="771">
        <v>1</v>
      </c>
      <c r="F46" s="770" t="s">
        <v>1044</v>
      </c>
      <c r="G46" s="772">
        <v>1800</v>
      </c>
      <c r="H46" s="772">
        <f>J46/M46*N46</f>
        <v>1</v>
      </c>
      <c r="I46" s="772">
        <f>G46*H46</f>
        <v>1800</v>
      </c>
      <c r="J46" s="772">
        <v>1800</v>
      </c>
      <c r="K46" s="773" t="s">
        <v>128</v>
      </c>
      <c r="L46" s="773" t="s">
        <v>128</v>
      </c>
      <c r="M46" s="772">
        <v>1800</v>
      </c>
      <c r="N46" s="769">
        <v>1</v>
      </c>
      <c r="O46" s="782">
        <v>9</v>
      </c>
      <c r="P46" s="775">
        <f>'Inputs and eligible population'!I60</f>
        <v>0</v>
      </c>
      <c r="Q46" s="776">
        <f>'Inputs and eligible population'!J60</f>
        <v>0.2</v>
      </c>
      <c r="R46" s="777">
        <f>(((H46/E46)*P46*O46*(100%+Q46)))</f>
        <v>0</v>
      </c>
      <c r="S46" s="250"/>
      <c r="T46" s="250"/>
      <c r="U46" s="250"/>
      <c r="V46" s="250"/>
      <c r="W46" s="250"/>
      <c r="X46" s="4"/>
      <c r="Y46" s="4"/>
      <c r="Z46" s="4"/>
      <c r="AA46" s="4"/>
    </row>
    <row r="47" spans="1:27" s="248" customFormat="1" ht="15" x14ac:dyDescent="0.25">
      <c r="A47" s="250"/>
      <c r="B47" s="769" t="s">
        <v>1068</v>
      </c>
      <c r="C47" s="769" t="s">
        <v>1206</v>
      </c>
      <c r="D47" s="770" t="s">
        <v>1043</v>
      </c>
      <c r="E47" s="771">
        <v>1</v>
      </c>
      <c r="F47" s="770" t="s">
        <v>1044</v>
      </c>
      <c r="G47" s="772">
        <v>1800</v>
      </c>
      <c r="H47" s="772">
        <f>J47/M47*N47</f>
        <v>1</v>
      </c>
      <c r="I47" s="772">
        <f>G47*H47</f>
        <v>1800</v>
      </c>
      <c r="J47" s="772">
        <v>1800</v>
      </c>
      <c r="K47" s="773" t="s">
        <v>128</v>
      </c>
      <c r="L47" s="773" t="s">
        <v>128</v>
      </c>
      <c r="M47" s="772">
        <v>1800</v>
      </c>
      <c r="N47" s="769">
        <v>1</v>
      </c>
      <c r="O47" s="782">
        <v>5</v>
      </c>
      <c r="P47" s="775">
        <f>'Inputs and eligible population'!I60</f>
        <v>0</v>
      </c>
      <c r="Q47" s="776">
        <f>'Inputs and eligible population'!J60</f>
        <v>0.2</v>
      </c>
      <c r="R47" s="777">
        <f>(((H47/E47)*P47*O47*(100%+Q47)))</f>
        <v>0</v>
      </c>
      <c r="S47" s="250"/>
      <c r="T47" s="250"/>
      <c r="U47" s="250"/>
      <c r="V47" s="250"/>
      <c r="W47" s="250"/>
      <c r="X47" s="4"/>
      <c r="Y47" s="4"/>
      <c r="Z47" s="4"/>
      <c r="AA47" s="4"/>
    </row>
    <row r="48" spans="1:27" s="248" customFormat="1" ht="15" x14ac:dyDescent="0.25">
      <c r="A48" s="250"/>
      <c r="B48" s="769" t="s">
        <v>1069</v>
      </c>
      <c r="C48" s="769" t="s">
        <v>1206</v>
      </c>
      <c r="D48" s="770" t="s">
        <v>1043</v>
      </c>
      <c r="E48" s="771">
        <v>1</v>
      </c>
      <c r="F48" s="770" t="s">
        <v>1044</v>
      </c>
      <c r="G48" s="772">
        <v>1800</v>
      </c>
      <c r="H48" s="772">
        <f>J48/M48*N48</f>
        <v>1</v>
      </c>
      <c r="I48" s="772">
        <f>G48*H48</f>
        <v>1800</v>
      </c>
      <c r="J48" s="772">
        <v>1800</v>
      </c>
      <c r="K48" s="773" t="s">
        <v>128</v>
      </c>
      <c r="L48" s="773" t="s">
        <v>128</v>
      </c>
      <c r="M48" s="772">
        <v>1800</v>
      </c>
      <c r="N48" s="769">
        <v>1</v>
      </c>
      <c r="O48" s="782">
        <v>7</v>
      </c>
      <c r="P48" s="775">
        <f>'Inputs and eligible population'!I60</f>
        <v>0</v>
      </c>
      <c r="Q48" s="776">
        <f>'Inputs and eligible population'!J60</f>
        <v>0.2</v>
      </c>
      <c r="R48" s="777">
        <f>(((H48/E48)*P48*O48*(100%+Q48)))</f>
        <v>0</v>
      </c>
      <c r="S48" s="250"/>
      <c r="T48" s="250"/>
      <c r="U48" s="250"/>
      <c r="V48" s="250"/>
      <c r="W48" s="250"/>
      <c r="X48" s="4"/>
      <c r="Y48" s="4"/>
      <c r="Z48" s="4"/>
      <c r="AA48" s="4"/>
    </row>
    <row r="49" spans="1:27" s="248" customFormat="1" ht="15" x14ac:dyDescent="0.25">
      <c r="A49" s="250"/>
      <c r="B49" s="769" t="s">
        <v>1041</v>
      </c>
      <c r="C49" s="769" t="s">
        <v>1042</v>
      </c>
      <c r="D49" s="770" t="s">
        <v>1043</v>
      </c>
      <c r="E49" s="771">
        <v>1</v>
      </c>
      <c r="F49" s="770" t="s">
        <v>1044</v>
      </c>
      <c r="G49" s="772">
        <v>3.5</v>
      </c>
      <c r="H49" s="772">
        <f>I49/G49</f>
        <v>2.6594285714285713</v>
      </c>
      <c r="I49" s="772">
        <f>M49*N49</f>
        <v>9.3079999999999998</v>
      </c>
      <c r="J49" s="778">
        <v>1.3</v>
      </c>
      <c r="K49" s="773">
        <v>1.79</v>
      </c>
      <c r="L49" s="773" t="s">
        <v>128</v>
      </c>
      <c r="M49" s="779">
        <f>J49*K49</f>
        <v>2.327</v>
      </c>
      <c r="N49" s="769">
        <v>4</v>
      </c>
      <c r="O49" s="774">
        <v>8</v>
      </c>
      <c r="P49" s="775">
        <f>'Inputs and eligible population'!I56</f>
        <v>0</v>
      </c>
      <c r="Q49" s="776">
        <f>'Inputs and eligible population'!J56</f>
        <v>0.2</v>
      </c>
      <c r="R49" s="777">
        <f>(((H49/E49)*P49*O49*(100%+Q49)))</f>
        <v>0</v>
      </c>
      <c r="S49" s="250"/>
      <c r="T49" s="250"/>
      <c r="U49" s="250"/>
      <c r="V49" s="250"/>
      <c r="W49" s="250"/>
      <c r="X49" s="4"/>
      <c r="Y49" s="4"/>
      <c r="Z49" s="4"/>
      <c r="AA49" s="4"/>
    </row>
    <row r="50" spans="1:27" s="248" customFormat="1" ht="15" x14ac:dyDescent="0.25">
      <c r="A50" s="250"/>
      <c r="B50" s="769" t="s">
        <v>1045</v>
      </c>
      <c r="C50" s="769" t="s">
        <v>1046</v>
      </c>
      <c r="D50" s="770" t="s">
        <v>1039</v>
      </c>
      <c r="E50" s="771">
        <v>50</v>
      </c>
      <c r="F50" s="770" t="s">
        <v>1040</v>
      </c>
      <c r="G50" s="772">
        <v>8</v>
      </c>
      <c r="H50" s="772">
        <f>(M50*N50)/(E50*G50)</f>
        <v>0.5</v>
      </c>
      <c r="I50" s="772">
        <f>M50*N50*O50</f>
        <v>1600</v>
      </c>
      <c r="J50" s="772">
        <v>20</v>
      </c>
      <c r="K50" s="773" t="s">
        <v>128</v>
      </c>
      <c r="L50" s="773" t="s">
        <v>128</v>
      </c>
      <c r="M50" s="772">
        <v>20</v>
      </c>
      <c r="N50" s="769">
        <v>10</v>
      </c>
      <c r="O50" s="774">
        <v>8</v>
      </c>
      <c r="P50" s="775">
        <f>'Inputs and eligible population'!I57</f>
        <v>0</v>
      </c>
      <c r="Q50" s="776">
        <f>'Inputs and eligible population'!J57</f>
        <v>0.2</v>
      </c>
      <c r="R50" s="777">
        <f>H50*P50*O50*(100%+Q50)</f>
        <v>0</v>
      </c>
      <c r="S50" s="250"/>
      <c r="T50" s="250"/>
      <c r="U50" s="250"/>
      <c r="V50" s="250"/>
      <c r="W50" s="250"/>
      <c r="X50" s="4"/>
      <c r="Y50" s="4"/>
      <c r="Z50" s="4"/>
      <c r="AA50" s="4"/>
    </row>
    <row r="51" spans="1:27" s="248" customFormat="1" ht="15" x14ac:dyDescent="0.25">
      <c r="A51" s="250"/>
      <c r="B51" s="781" t="s">
        <v>1304</v>
      </c>
      <c r="C51" s="253" t="s">
        <v>129</v>
      </c>
      <c r="D51" s="255"/>
      <c r="E51" s="255"/>
      <c r="F51" s="255"/>
      <c r="G51" s="255"/>
      <c r="H51" s="255"/>
      <c r="I51" s="255"/>
      <c r="J51" s="255"/>
      <c r="K51" s="255"/>
      <c r="L51" s="255"/>
      <c r="M51" s="255"/>
      <c r="N51" s="255"/>
      <c r="O51" s="255"/>
      <c r="P51" s="255"/>
      <c r="Q51" s="254"/>
      <c r="R51" s="780">
        <f>SUM(R46:R50)</f>
        <v>0</v>
      </c>
      <c r="S51" s="250"/>
      <c r="T51" s="250"/>
      <c r="U51" s="250"/>
      <c r="V51" s="250"/>
      <c r="W51" s="250"/>
      <c r="X51" s="4"/>
      <c r="Y51" s="4"/>
      <c r="Z51" s="4"/>
      <c r="AA51" s="4"/>
    </row>
    <row r="52" spans="1:27" s="248" customFormat="1" ht="15" x14ac:dyDescent="0.25">
      <c r="A52" s="250"/>
      <c r="B52" s="246"/>
      <c r="C52" s="250"/>
      <c r="D52" s="250"/>
      <c r="E52" s="250"/>
      <c r="F52" s="250"/>
      <c r="G52" s="250"/>
      <c r="H52" s="250"/>
      <c r="I52" s="250"/>
      <c r="J52" s="250"/>
      <c r="K52" s="250"/>
      <c r="L52" s="250"/>
      <c r="M52" s="250"/>
      <c r="N52" s="250"/>
      <c r="O52" s="250"/>
      <c r="P52" s="250"/>
      <c r="Q52" s="250"/>
      <c r="R52" s="250"/>
      <c r="S52" s="250"/>
      <c r="T52" s="250"/>
      <c r="U52" s="250"/>
      <c r="V52" s="250"/>
      <c r="W52" s="250"/>
      <c r="X52" s="4"/>
      <c r="Y52" s="4"/>
      <c r="Z52" s="4"/>
      <c r="AA52" s="4"/>
    </row>
    <row r="53" spans="1:27" s="248" customFormat="1" ht="15" x14ac:dyDescent="0.25">
      <c r="A53" s="250"/>
      <c r="B53" s="769" t="s">
        <v>1070</v>
      </c>
      <c r="C53" s="769" t="s">
        <v>1206</v>
      </c>
      <c r="D53" s="770" t="s">
        <v>1043</v>
      </c>
      <c r="E53" s="771">
        <v>1</v>
      </c>
      <c r="F53" s="770" t="s">
        <v>1044</v>
      </c>
      <c r="G53" s="772">
        <v>1800</v>
      </c>
      <c r="H53" s="772">
        <f>J53/M53*N53</f>
        <v>1</v>
      </c>
      <c r="I53" s="772">
        <f>G53*H53</f>
        <v>1800</v>
      </c>
      <c r="J53" s="772">
        <v>1800</v>
      </c>
      <c r="K53" s="773" t="s">
        <v>128</v>
      </c>
      <c r="L53" s="773" t="s">
        <v>128</v>
      </c>
      <c r="M53" s="772">
        <v>1800</v>
      </c>
      <c r="N53" s="769">
        <v>1</v>
      </c>
      <c r="O53" s="782">
        <v>13</v>
      </c>
      <c r="P53" s="775">
        <f>'Inputs and eligible population'!I60</f>
        <v>0</v>
      </c>
      <c r="Q53" s="776">
        <f>'Inputs and eligible population'!J60</f>
        <v>0.2</v>
      </c>
      <c r="R53" s="777">
        <f>(((H53/E53)*P53*O53*(100%+Q53)))</f>
        <v>0</v>
      </c>
      <c r="S53" s="250"/>
      <c r="T53" s="250"/>
      <c r="U53" s="250"/>
      <c r="V53" s="250"/>
      <c r="W53" s="250"/>
      <c r="X53" s="4"/>
      <c r="Y53" s="4"/>
      <c r="Z53" s="4"/>
      <c r="AA53" s="4"/>
    </row>
    <row r="54" spans="1:27" s="248" customFormat="1" ht="15" x14ac:dyDescent="0.25">
      <c r="A54" s="250"/>
      <c r="B54" s="781" t="s">
        <v>1071</v>
      </c>
      <c r="C54" s="253" t="s">
        <v>129</v>
      </c>
      <c r="D54" s="255"/>
      <c r="E54" s="255"/>
      <c r="F54" s="255"/>
      <c r="G54" s="255"/>
      <c r="H54" s="255"/>
      <c r="I54" s="255"/>
      <c r="J54" s="255"/>
      <c r="K54" s="255"/>
      <c r="L54" s="255"/>
      <c r="M54" s="255"/>
      <c r="N54" s="255"/>
      <c r="O54" s="255"/>
      <c r="P54" s="255"/>
      <c r="Q54" s="254"/>
      <c r="R54" s="780">
        <f>SUM(R53:R53)</f>
        <v>0</v>
      </c>
      <c r="S54" s="250"/>
      <c r="T54" s="250"/>
      <c r="U54" s="250"/>
      <c r="V54" s="250"/>
      <c r="W54" s="250"/>
      <c r="X54" s="4"/>
      <c r="Y54" s="4"/>
      <c r="Z54" s="4"/>
      <c r="AA54" s="4"/>
    </row>
    <row r="55" spans="1:27" s="248" customFormat="1" ht="15" x14ac:dyDescent="0.25">
      <c r="A55" s="250"/>
      <c r="B55" s="246"/>
      <c r="C55" s="250"/>
      <c r="D55" s="250"/>
      <c r="E55" s="250"/>
      <c r="F55" s="250"/>
      <c r="G55" s="250"/>
      <c r="H55" s="250"/>
      <c r="I55" s="250"/>
      <c r="J55" s="250"/>
      <c r="K55" s="250"/>
      <c r="L55" s="250"/>
      <c r="M55" s="250"/>
      <c r="N55" s="250"/>
      <c r="O55" s="250"/>
      <c r="P55" s="250"/>
      <c r="Q55" s="250"/>
      <c r="R55" s="250"/>
      <c r="S55" s="250"/>
      <c r="T55" s="250"/>
      <c r="U55" s="250"/>
      <c r="V55" s="250"/>
      <c r="W55" s="250"/>
      <c r="X55" s="4"/>
      <c r="Y55" s="4"/>
      <c r="Z55" s="4"/>
      <c r="AA55" s="4"/>
    </row>
    <row r="56" spans="1:27" s="248" customFormat="1" ht="15" x14ac:dyDescent="0.25">
      <c r="A56" s="250"/>
      <c r="B56" s="769" t="s">
        <v>1037</v>
      </c>
      <c r="C56" s="769" t="s">
        <v>1038</v>
      </c>
      <c r="D56" s="770" t="s">
        <v>1039</v>
      </c>
      <c r="E56" s="771">
        <v>20</v>
      </c>
      <c r="F56" s="770" t="s">
        <v>1040</v>
      </c>
      <c r="G56" s="772">
        <v>20</v>
      </c>
      <c r="H56" s="772">
        <f>(J56/G56)*N56</f>
        <v>25</v>
      </c>
      <c r="I56" s="772">
        <f>G56*H56</f>
        <v>500</v>
      </c>
      <c r="J56" s="772">
        <v>100</v>
      </c>
      <c r="K56" s="773" t="s">
        <v>128</v>
      </c>
      <c r="L56" s="773" t="s">
        <v>128</v>
      </c>
      <c r="M56" s="772">
        <v>100</v>
      </c>
      <c r="N56" s="769">
        <v>5</v>
      </c>
      <c r="O56" s="774">
        <f>365/35</f>
        <v>10.428571428571429</v>
      </c>
      <c r="P56" s="775">
        <f>'Inputs and eligible population'!I55</f>
        <v>0</v>
      </c>
      <c r="Q56" s="776">
        <f>'Inputs and eligible population'!J55</f>
        <v>0.2</v>
      </c>
      <c r="R56" s="777">
        <f>(((H56/E56)*P56*O56*(100%+Q56)))</f>
        <v>0</v>
      </c>
      <c r="S56" s="250"/>
      <c r="T56" s="250"/>
      <c r="U56" s="250"/>
      <c r="V56" s="250"/>
      <c r="W56" s="250"/>
      <c r="X56" s="4"/>
      <c r="Y56" s="4"/>
      <c r="Z56" s="4"/>
      <c r="AA56" s="4"/>
    </row>
    <row r="57" spans="1:27" s="248" customFormat="1" ht="15" x14ac:dyDescent="0.25">
      <c r="A57" s="250"/>
      <c r="B57" s="769" t="s">
        <v>1041</v>
      </c>
      <c r="C57" s="769" t="s">
        <v>1042</v>
      </c>
      <c r="D57" s="770" t="s">
        <v>1043</v>
      </c>
      <c r="E57" s="771">
        <v>1</v>
      </c>
      <c r="F57" s="770" t="s">
        <v>1044</v>
      </c>
      <c r="G57" s="772">
        <v>3.5</v>
      </c>
      <c r="H57" s="772">
        <f>I57/G57</f>
        <v>2.6594285714285713</v>
      </c>
      <c r="I57" s="772">
        <f>M57*N57</f>
        <v>9.3079999999999998</v>
      </c>
      <c r="J57" s="778">
        <v>1.3</v>
      </c>
      <c r="K57" s="773">
        <v>1.79</v>
      </c>
      <c r="L57" s="773" t="s">
        <v>128</v>
      </c>
      <c r="M57" s="779">
        <f>J57*K57</f>
        <v>2.327</v>
      </c>
      <c r="N57" s="769">
        <v>4</v>
      </c>
      <c r="O57" s="774">
        <f t="shared" ref="O57:O58" si="1">365/35</f>
        <v>10.428571428571429</v>
      </c>
      <c r="P57" s="775">
        <f>'Inputs and eligible population'!I56</f>
        <v>0</v>
      </c>
      <c r="Q57" s="776">
        <f>'Inputs and eligible population'!J56</f>
        <v>0.2</v>
      </c>
      <c r="R57" s="777">
        <f>(((H57/E57)*P57*O57*(100%+Q57)))</f>
        <v>0</v>
      </c>
      <c r="S57" s="250"/>
      <c r="T57" s="250"/>
      <c r="U57" s="250"/>
      <c r="V57" s="250"/>
      <c r="W57" s="250"/>
      <c r="X57" s="4"/>
      <c r="Y57" s="4"/>
      <c r="Z57" s="4"/>
      <c r="AA57" s="4"/>
    </row>
    <row r="58" spans="1:27" s="248" customFormat="1" ht="15" x14ac:dyDescent="0.25">
      <c r="A58" s="250"/>
      <c r="B58" s="769" t="s">
        <v>1045</v>
      </c>
      <c r="C58" s="769" t="s">
        <v>1046</v>
      </c>
      <c r="D58" s="770" t="s">
        <v>1039</v>
      </c>
      <c r="E58" s="771">
        <v>50</v>
      </c>
      <c r="F58" s="770" t="s">
        <v>1040</v>
      </c>
      <c r="G58" s="772">
        <v>8</v>
      </c>
      <c r="H58" s="772">
        <f>(M58*N58)/(E58*G58)</f>
        <v>0.5</v>
      </c>
      <c r="I58" s="772">
        <f>M58*N58*O58</f>
        <v>2085.7142857142858</v>
      </c>
      <c r="J58" s="772">
        <v>20</v>
      </c>
      <c r="K58" s="773" t="s">
        <v>128</v>
      </c>
      <c r="L58" s="773" t="s">
        <v>128</v>
      </c>
      <c r="M58" s="772">
        <v>20</v>
      </c>
      <c r="N58" s="769">
        <v>10</v>
      </c>
      <c r="O58" s="774">
        <f t="shared" si="1"/>
        <v>10.428571428571429</v>
      </c>
      <c r="P58" s="775">
        <f>'Inputs and eligible population'!I57</f>
        <v>0</v>
      </c>
      <c r="Q58" s="776">
        <f>'Inputs and eligible population'!J57</f>
        <v>0.2</v>
      </c>
      <c r="R58" s="777">
        <f>H58*P58*O58*(100%+Q58)</f>
        <v>0</v>
      </c>
      <c r="S58" s="250"/>
      <c r="T58" s="250"/>
      <c r="U58" s="250"/>
      <c r="V58" s="250"/>
      <c r="W58" s="250"/>
      <c r="X58" s="4"/>
      <c r="Y58" s="4"/>
      <c r="Z58" s="4"/>
      <c r="AA58" s="4"/>
    </row>
    <row r="59" spans="1:27" s="248" customFormat="1" ht="15" x14ac:dyDescent="0.25">
      <c r="A59" s="250"/>
      <c r="B59" s="781" t="s">
        <v>1047</v>
      </c>
      <c r="C59" s="253" t="s">
        <v>129</v>
      </c>
      <c r="D59" s="255"/>
      <c r="E59" s="255"/>
      <c r="F59" s="255"/>
      <c r="G59" s="255"/>
      <c r="H59" s="255"/>
      <c r="I59" s="255"/>
      <c r="J59" s="255"/>
      <c r="K59" s="255"/>
      <c r="L59" s="255"/>
      <c r="M59" s="255"/>
      <c r="N59" s="255"/>
      <c r="O59" s="255"/>
      <c r="P59" s="255"/>
      <c r="Q59" s="254"/>
      <c r="R59" s="780">
        <f>SUM(R56:R58)</f>
        <v>0</v>
      </c>
      <c r="S59" s="250"/>
      <c r="T59" s="250"/>
      <c r="U59" s="250"/>
      <c r="V59" s="250"/>
      <c r="W59" s="250"/>
      <c r="X59" s="4"/>
      <c r="Y59" s="4"/>
      <c r="Z59" s="4"/>
      <c r="AA59" s="4"/>
    </row>
    <row r="60" spans="1:27" s="248" customFormat="1" ht="15" x14ac:dyDescent="0.25">
      <c r="A60" s="250"/>
      <c r="B60" s="246"/>
      <c r="C60" s="250"/>
      <c r="D60" s="250"/>
      <c r="E60" s="250"/>
      <c r="F60" s="250"/>
      <c r="G60" s="250"/>
      <c r="H60" s="250"/>
      <c r="I60" s="250"/>
      <c r="J60" s="250"/>
      <c r="K60" s="250"/>
      <c r="L60" s="250"/>
      <c r="M60" s="250"/>
      <c r="N60" s="250"/>
      <c r="O60" s="250"/>
      <c r="P60" s="250"/>
      <c r="Q60" s="250"/>
      <c r="R60" s="250"/>
      <c r="S60" s="250"/>
      <c r="T60" s="250"/>
      <c r="U60" s="250"/>
      <c r="V60" s="250"/>
      <c r="W60" s="250"/>
      <c r="X60" s="4"/>
      <c r="Y60" s="4"/>
      <c r="Z60" s="4"/>
      <c r="AA60" s="4"/>
    </row>
    <row r="61" spans="1:27" s="248" customFormat="1" ht="15" x14ac:dyDescent="0.25">
      <c r="A61" s="250"/>
      <c r="B61" s="769" t="s">
        <v>1037</v>
      </c>
      <c r="C61" s="769" t="s">
        <v>1038</v>
      </c>
      <c r="D61" s="770" t="s">
        <v>1039</v>
      </c>
      <c r="E61" s="771">
        <v>20</v>
      </c>
      <c r="F61" s="770" t="s">
        <v>1040</v>
      </c>
      <c r="G61" s="772">
        <v>20</v>
      </c>
      <c r="H61" s="772">
        <f>J61/M61*N61</f>
        <v>5</v>
      </c>
      <c r="I61" s="772">
        <f>G61*H61</f>
        <v>100</v>
      </c>
      <c r="J61" s="772">
        <v>100</v>
      </c>
      <c r="K61" s="773" t="s">
        <v>128</v>
      </c>
      <c r="L61" s="773" t="s">
        <v>128</v>
      </c>
      <c r="M61" s="772">
        <v>100</v>
      </c>
      <c r="N61" s="769">
        <v>5</v>
      </c>
      <c r="O61" s="782">
        <f>((12.94-12)*30)/35</f>
        <v>0.80571428571428527</v>
      </c>
      <c r="P61" s="775">
        <f>'Inputs and eligible population'!I55</f>
        <v>0</v>
      </c>
      <c r="Q61" s="776">
        <f>'Inputs and eligible population'!J55</f>
        <v>0.2</v>
      </c>
      <c r="R61" s="777">
        <f>(((H61/E61)*P61*O61*(100%+Q61)))</f>
        <v>0</v>
      </c>
      <c r="S61" s="250"/>
      <c r="T61" s="250"/>
      <c r="U61" s="250"/>
      <c r="V61" s="250"/>
      <c r="W61" s="250"/>
      <c r="X61" s="4"/>
      <c r="Y61" s="4"/>
      <c r="Z61" s="4"/>
      <c r="AA61" s="4"/>
    </row>
    <row r="62" spans="1:27" s="248" customFormat="1" ht="15" x14ac:dyDescent="0.25">
      <c r="A62" s="250"/>
      <c r="B62" s="769" t="s">
        <v>1041</v>
      </c>
      <c r="C62" s="769" t="s">
        <v>1042</v>
      </c>
      <c r="D62" s="770" t="s">
        <v>1043</v>
      </c>
      <c r="E62" s="771">
        <v>1</v>
      </c>
      <c r="F62" s="770" t="s">
        <v>1044</v>
      </c>
      <c r="G62" s="772">
        <v>3.5</v>
      </c>
      <c r="H62" s="772">
        <f>I62/G62</f>
        <v>2.6594285714285713</v>
      </c>
      <c r="I62" s="772">
        <f>M62*N62</f>
        <v>9.3079999999999998</v>
      </c>
      <c r="J62" s="778">
        <v>1.3</v>
      </c>
      <c r="K62" s="773">
        <v>1.79</v>
      </c>
      <c r="L62" s="773" t="s">
        <v>128</v>
      </c>
      <c r="M62" s="779">
        <f>J62*K62</f>
        <v>2.327</v>
      </c>
      <c r="N62" s="769">
        <v>4</v>
      </c>
      <c r="O62" s="782">
        <f>((12.94-12)*30)/35</f>
        <v>0.80571428571428527</v>
      </c>
      <c r="P62" s="775">
        <f>'Inputs and eligible population'!I56</f>
        <v>0</v>
      </c>
      <c r="Q62" s="776">
        <f>'Inputs and eligible population'!J56</f>
        <v>0.2</v>
      </c>
      <c r="R62" s="777">
        <f>(((H62/E62)*P62*O62*(100%+Q62)))</f>
        <v>0</v>
      </c>
      <c r="S62" s="250"/>
      <c r="T62" s="250"/>
      <c r="U62" s="250"/>
      <c r="V62" s="250"/>
      <c r="W62" s="250"/>
      <c r="X62" s="4"/>
      <c r="Y62" s="4"/>
      <c r="Z62" s="4"/>
      <c r="AA62" s="4"/>
    </row>
    <row r="63" spans="1:27" s="248" customFormat="1" ht="15" x14ac:dyDescent="0.25">
      <c r="A63" s="250"/>
      <c r="B63" s="769" t="s">
        <v>1045</v>
      </c>
      <c r="C63" s="769" t="s">
        <v>1046</v>
      </c>
      <c r="D63" s="770" t="s">
        <v>1039</v>
      </c>
      <c r="E63" s="771">
        <v>50</v>
      </c>
      <c r="F63" s="770" t="s">
        <v>1040</v>
      </c>
      <c r="G63" s="772">
        <v>8</v>
      </c>
      <c r="H63" s="772">
        <f>(M63*N63)/(E63*G63)</f>
        <v>0.5</v>
      </c>
      <c r="I63" s="772">
        <f>M63*N63*O63</f>
        <v>161.14285714285705</v>
      </c>
      <c r="J63" s="772">
        <v>20</v>
      </c>
      <c r="K63" s="773" t="s">
        <v>128</v>
      </c>
      <c r="L63" s="773" t="s">
        <v>128</v>
      </c>
      <c r="M63" s="772">
        <v>20</v>
      </c>
      <c r="N63" s="769">
        <v>10</v>
      </c>
      <c r="O63" s="782">
        <f>((12.94-12)*30)/35</f>
        <v>0.80571428571428527</v>
      </c>
      <c r="P63" s="775">
        <f>'Inputs and eligible population'!I57</f>
        <v>0</v>
      </c>
      <c r="Q63" s="776">
        <f>'Inputs and eligible population'!J57</f>
        <v>0.2</v>
      </c>
      <c r="R63" s="777">
        <f>H63*P63*O63*(100%+Q63)</f>
        <v>0</v>
      </c>
      <c r="S63" s="250"/>
      <c r="T63" s="250"/>
      <c r="U63" s="250"/>
      <c r="V63" s="250"/>
      <c r="W63" s="250"/>
      <c r="X63" s="4"/>
      <c r="Y63" s="4"/>
      <c r="Z63" s="4"/>
      <c r="AA63" s="4"/>
    </row>
    <row r="64" spans="1:27" s="248" customFormat="1" ht="15" x14ac:dyDescent="0.25">
      <c r="A64" s="250"/>
      <c r="B64" s="781" t="s">
        <v>1048</v>
      </c>
      <c r="C64" s="253" t="s">
        <v>129</v>
      </c>
      <c r="D64" s="255"/>
      <c r="E64" s="255"/>
      <c r="F64" s="255"/>
      <c r="G64" s="255"/>
      <c r="H64" s="255"/>
      <c r="I64" s="255"/>
      <c r="J64" s="255"/>
      <c r="K64" s="255"/>
      <c r="L64" s="255"/>
      <c r="M64" s="255"/>
      <c r="N64" s="255"/>
      <c r="O64" s="255"/>
      <c r="P64" s="255"/>
      <c r="Q64" s="254"/>
      <c r="R64" s="780">
        <f>SUM(R61:R63)</f>
        <v>0</v>
      </c>
      <c r="S64" s="250"/>
      <c r="T64" s="250"/>
      <c r="U64" s="250"/>
      <c r="V64" s="250"/>
      <c r="W64" s="250"/>
      <c r="X64" s="4"/>
      <c r="Y64" s="4"/>
      <c r="Z64" s="4"/>
      <c r="AA64" s="4"/>
    </row>
    <row r="65" spans="1:27" s="248" customFormat="1" ht="15" x14ac:dyDescent="0.25">
      <c r="A65" s="250"/>
      <c r="B65" s="200"/>
      <c r="C65" s="253"/>
      <c r="D65" s="255"/>
      <c r="E65" s="255"/>
      <c r="F65" s="255"/>
      <c r="G65" s="255"/>
      <c r="H65" s="255"/>
      <c r="I65" s="255"/>
      <c r="J65" s="255"/>
      <c r="K65" s="255"/>
      <c r="L65" s="255"/>
      <c r="M65" s="255"/>
      <c r="N65" s="255"/>
      <c r="O65" s="255"/>
      <c r="P65" s="255"/>
      <c r="Q65" s="254"/>
      <c r="R65" s="665"/>
      <c r="S65" s="250"/>
      <c r="T65" s="250"/>
      <c r="U65" s="250"/>
      <c r="V65" s="250"/>
      <c r="W65" s="250"/>
      <c r="X65" s="4"/>
      <c r="Y65" s="4"/>
      <c r="Z65" s="4"/>
      <c r="AA65" s="4"/>
    </row>
    <row r="66" spans="1:27" s="248" customFormat="1" ht="15" x14ac:dyDescent="0.25">
      <c r="A66" s="250"/>
      <c r="B66" s="769" t="s">
        <v>1049</v>
      </c>
      <c r="C66" s="769" t="s">
        <v>1050</v>
      </c>
      <c r="D66" s="770" t="s">
        <v>1039</v>
      </c>
      <c r="E66" s="771">
        <v>21</v>
      </c>
      <c r="F66" s="770" t="s">
        <v>1040</v>
      </c>
      <c r="G66" s="772">
        <v>25</v>
      </c>
      <c r="H66" s="772">
        <f>(J66/G66)*N66</f>
        <v>21</v>
      </c>
      <c r="I66" s="772">
        <f>G66*H66</f>
        <v>525</v>
      </c>
      <c r="J66" s="772">
        <v>25</v>
      </c>
      <c r="K66" s="773" t="s">
        <v>128</v>
      </c>
      <c r="L66" s="773" t="s">
        <v>128</v>
      </c>
      <c r="M66" s="772">
        <v>25</v>
      </c>
      <c r="N66" s="769">
        <v>21</v>
      </c>
      <c r="O66" s="774">
        <f>365/28</f>
        <v>13.035714285714286</v>
      </c>
      <c r="P66" s="775">
        <f>'Inputs and eligible population'!I58</f>
        <v>0</v>
      </c>
      <c r="Q66" s="776">
        <f>'Inputs and eligible population'!J58</f>
        <v>0.2</v>
      </c>
      <c r="R66" s="777">
        <f>(((H66/E66)*P66*O66*(100%+Q66)))</f>
        <v>0</v>
      </c>
      <c r="S66" s="250"/>
      <c r="T66" s="250"/>
      <c r="U66" s="250"/>
      <c r="V66" s="250"/>
      <c r="W66" s="250"/>
      <c r="X66" s="4"/>
      <c r="Y66" s="4"/>
      <c r="Z66" s="4"/>
      <c r="AA66" s="4"/>
    </row>
    <row r="67" spans="1:27" s="248" customFormat="1" ht="15" x14ac:dyDescent="0.25">
      <c r="A67" s="250"/>
      <c r="B67" s="769" t="s">
        <v>1051</v>
      </c>
      <c r="C67" s="769" t="s">
        <v>1046</v>
      </c>
      <c r="D67" s="770" t="s">
        <v>1039</v>
      </c>
      <c r="E67" s="771">
        <v>50</v>
      </c>
      <c r="F67" s="770" t="s">
        <v>1040</v>
      </c>
      <c r="G67" s="772">
        <v>8</v>
      </c>
      <c r="H67" s="779">
        <f>(M67*N67)/(E67*G67)</f>
        <v>0.4</v>
      </c>
      <c r="I67" s="772">
        <f>M67*N67*O67</f>
        <v>2085.7142857142858</v>
      </c>
      <c r="J67" s="772">
        <v>40</v>
      </c>
      <c r="K67" s="773" t="s">
        <v>128</v>
      </c>
      <c r="L67" s="773" t="s">
        <v>128</v>
      </c>
      <c r="M67" s="772">
        <v>40</v>
      </c>
      <c r="N67" s="769">
        <v>4</v>
      </c>
      <c r="O67" s="774">
        <f>365/28</f>
        <v>13.035714285714286</v>
      </c>
      <c r="P67" s="775">
        <f>'Inputs and eligible population'!I57</f>
        <v>0</v>
      </c>
      <c r="Q67" s="776">
        <f>'Inputs and eligible population'!J57</f>
        <v>0.2</v>
      </c>
      <c r="R67" s="777">
        <f>H67*P67*O67*(100%+Q67)</f>
        <v>0</v>
      </c>
      <c r="S67" s="250"/>
      <c r="T67" s="250"/>
      <c r="U67" s="250"/>
      <c r="V67" s="250"/>
      <c r="W67" s="250"/>
      <c r="X67" s="4"/>
      <c r="Y67" s="4"/>
      <c r="Z67" s="4"/>
      <c r="AA67" s="4"/>
    </row>
    <row r="68" spans="1:27" s="248" customFormat="1" ht="15" x14ac:dyDescent="0.25">
      <c r="A68" s="250"/>
      <c r="B68" s="781" t="s">
        <v>1052</v>
      </c>
      <c r="C68" s="253" t="s">
        <v>129</v>
      </c>
      <c r="D68" s="255"/>
      <c r="E68" s="255"/>
      <c r="F68" s="255"/>
      <c r="G68" s="255"/>
      <c r="H68" s="255"/>
      <c r="I68" s="255"/>
      <c r="J68" s="255"/>
      <c r="K68" s="255"/>
      <c r="L68" s="255"/>
      <c r="M68" s="255"/>
      <c r="N68" s="255"/>
      <c r="O68" s="255"/>
      <c r="P68" s="255"/>
      <c r="Q68" s="254"/>
      <c r="R68" s="780">
        <f>SUM(R66:R67)</f>
        <v>0</v>
      </c>
      <c r="S68" s="250"/>
      <c r="T68" s="250"/>
      <c r="U68" s="250"/>
      <c r="V68" s="250"/>
      <c r="W68" s="250"/>
      <c r="X68" s="4"/>
      <c r="Y68" s="4"/>
      <c r="Z68" s="4"/>
      <c r="AA68" s="4"/>
    </row>
    <row r="69" spans="1:27" s="248" customFormat="1" ht="15" x14ac:dyDescent="0.25">
      <c r="A69" s="250"/>
      <c r="B69" s="200"/>
      <c r="C69" s="253"/>
      <c r="D69" s="255"/>
      <c r="E69" s="255"/>
      <c r="F69" s="255"/>
      <c r="G69" s="255"/>
      <c r="H69" s="255"/>
      <c r="I69" s="255"/>
      <c r="J69" s="255"/>
      <c r="K69" s="255"/>
      <c r="L69" s="255"/>
      <c r="M69" s="255"/>
      <c r="N69" s="255"/>
      <c r="O69" s="255"/>
      <c r="P69" s="255"/>
      <c r="Q69" s="254"/>
      <c r="R69" s="665"/>
      <c r="S69" s="250"/>
      <c r="T69" s="250"/>
      <c r="U69" s="250"/>
      <c r="V69" s="250"/>
      <c r="W69" s="250"/>
      <c r="X69" s="4"/>
      <c r="Y69" s="4"/>
      <c r="Z69" s="4"/>
      <c r="AA69" s="4"/>
    </row>
    <row r="70" spans="1:27" s="248" customFormat="1" ht="15" x14ac:dyDescent="0.25">
      <c r="A70" s="250"/>
      <c r="B70" s="769" t="s">
        <v>1072</v>
      </c>
      <c r="C70" s="769" t="s">
        <v>1073</v>
      </c>
      <c r="D70" s="770" t="s">
        <v>1039</v>
      </c>
      <c r="E70" s="771">
        <v>3</v>
      </c>
      <c r="F70" s="770" t="s">
        <v>1044</v>
      </c>
      <c r="G70" s="772">
        <v>4</v>
      </c>
      <c r="H70" s="772">
        <f>(M70*N70)/G70</f>
        <v>3</v>
      </c>
      <c r="I70" s="772">
        <f>G70*H70*N70</f>
        <v>36</v>
      </c>
      <c r="J70" s="772">
        <v>4</v>
      </c>
      <c r="K70" s="773">
        <v>1.79</v>
      </c>
      <c r="L70" s="773" t="s">
        <v>128</v>
      </c>
      <c r="M70" s="772">
        <v>4</v>
      </c>
      <c r="N70" s="769">
        <v>3</v>
      </c>
      <c r="O70" s="774">
        <v>13</v>
      </c>
      <c r="P70" s="775">
        <f>'Inputs and eligible population'!I61</f>
        <v>0</v>
      </c>
      <c r="Q70" s="776">
        <f>'Inputs and eligible population'!J61</f>
        <v>0.2</v>
      </c>
      <c r="R70" s="777">
        <f>(((H70/E70)*P70*O70*(100%+Q70)))</f>
        <v>0</v>
      </c>
      <c r="S70" s="250"/>
      <c r="T70" s="250"/>
      <c r="U70" s="250"/>
      <c r="V70" s="250"/>
      <c r="W70" s="250"/>
      <c r="X70" s="4"/>
      <c r="Y70" s="4"/>
      <c r="Z70" s="4"/>
      <c r="AA70" s="4"/>
    </row>
    <row r="71" spans="1:27" s="248" customFormat="1" ht="15" x14ac:dyDescent="0.25">
      <c r="A71" s="250"/>
      <c r="B71" s="769" t="s">
        <v>1059</v>
      </c>
      <c r="C71" s="769" t="s">
        <v>1046</v>
      </c>
      <c r="D71" s="770" t="s">
        <v>1039</v>
      </c>
      <c r="E71" s="769">
        <v>50</v>
      </c>
      <c r="F71" s="770" t="s">
        <v>1040</v>
      </c>
      <c r="G71" s="772">
        <v>8</v>
      </c>
      <c r="H71" s="779">
        <f>(M71*N71)/(E71*G71)</f>
        <v>0.4</v>
      </c>
      <c r="I71" s="772">
        <f>M71*N71*O71</f>
        <v>2080</v>
      </c>
      <c r="J71" s="772">
        <v>40</v>
      </c>
      <c r="K71" s="773" t="s">
        <v>128</v>
      </c>
      <c r="L71" s="773" t="s">
        <v>128</v>
      </c>
      <c r="M71" s="772">
        <v>40</v>
      </c>
      <c r="N71" s="769">
        <v>4</v>
      </c>
      <c r="O71" s="774">
        <v>13</v>
      </c>
      <c r="P71" s="775">
        <f>'Inputs and eligible population'!I57</f>
        <v>0</v>
      </c>
      <c r="Q71" s="776">
        <f>'Inputs and eligible population'!J57</f>
        <v>0.2</v>
      </c>
      <c r="R71" s="777">
        <f>H71*P71*O71*(100%+Q71)</f>
        <v>0</v>
      </c>
      <c r="S71" s="250"/>
      <c r="T71" s="250"/>
      <c r="U71" s="250"/>
      <c r="V71" s="250"/>
      <c r="W71" s="250"/>
      <c r="X71" s="4"/>
      <c r="Y71" s="4"/>
      <c r="Z71" s="4"/>
      <c r="AA71" s="4"/>
    </row>
    <row r="72" spans="1:27" s="248" customFormat="1" ht="15" x14ac:dyDescent="0.25">
      <c r="A72" s="250"/>
      <c r="B72" s="769" t="s">
        <v>1049</v>
      </c>
      <c r="C72" s="769" t="s">
        <v>1050</v>
      </c>
      <c r="D72" s="770" t="s">
        <v>1039</v>
      </c>
      <c r="E72" s="771">
        <v>21</v>
      </c>
      <c r="F72" s="770" t="s">
        <v>1040</v>
      </c>
      <c r="G72" s="772">
        <v>25</v>
      </c>
      <c r="H72" s="772">
        <f>(J72/G72)*N72</f>
        <v>21</v>
      </c>
      <c r="I72" s="772">
        <f>G72*H72</f>
        <v>525</v>
      </c>
      <c r="J72" s="772">
        <v>25</v>
      </c>
      <c r="K72" s="773" t="s">
        <v>128</v>
      </c>
      <c r="L72" s="773" t="s">
        <v>128</v>
      </c>
      <c r="M72" s="772">
        <v>25</v>
      </c>
      <c r="N72" s="769">
        <v>21</v>
      </c>
      <c r="O72" s="774">
        <v>13</v>
      </c>
      <c r="P72" s="775">
        <f>'Inputs and eligible population'!I58</f>
        <v>0</v>
      </c>
      <c r="Q72" s="776">
        <f>'Inputs and eligible population'!J58</f>
        <v>0.2</v>
      </c>
      <c r="R72" s="777">
        <f>(((H72/E72)*P72*O72*(100%+Q72)))</f>
        <v>0</v>
      </c>
      <c r="S72" s="250"/>
      <c r="T72" s="250"/>
      <c r="U72" s="250"/>
      <c r="V72" s="250"/>
      <c r="W72" s="250"/>
      <c r="X72" s="4"/>
      <c r="Y72" s="4"/>
      <c r="Z72" s="4"/>
      <c r="AA72" s="4"/>
    </row>
    <row r="73" spans="1:27" s="248" customFormat="1" ht="15" x14ac:dyDescent="0.25">
      <c r="A73" s="250"/>
      <c r="B73" s="781" t="s">
        <v>1074</v>
      </c>
      <c r="C73" s="253" t="s">
        <v>129</v>
      </c>
      <c r="D73" s="255"/>
      <c r="E73" s="255"/>
      <c r="F73" s="255"/>
      <c r="G73" s="255"/>
      <c r="H73" s="255"/>
      <c r="I73" s="255"/>
      <c r="J73" s="255"/>
      <c r="K73" s="255"/>
      <c r="L73" s="255"/>
      <c r="M73" s="255"/>
      <c r="N73" s="255"/>
      <c r="O73" s="255"/>
      <c r="P73" s="255"/>
      <c r="Q73" s="254"/>
      <c r="R73" s="780">
        <f>SUM(R70:R72)</f>
        <v>0</v>
      </c>
      <c r="S73" s="250"/>
      <c r="T73" s="250"/>
      <c r="U73" s="250"/>
      <c r="V73" s="250"/>
      <c r="W73" s="250"/>
      <c r="X73" s="4"/>
      <c r="Y73" s="4"/>
      <c r="Z73" s="4"/>
      <c r="AA73" s="4"/>
    </row>
    <row r="74" spans="1:27" s="248" customFormat="1" ht="15" x14ac:dyDescent="0.25">
      <c r="A74" s="250"/>
      <c r="B74" s="246"/>
      <c r="C74" s="250"/>
      <c r="D74" s="250"/>
      <c r="E74" s="250"/>
      <c r="F74" s="250"/>
      <c r="G74" s="250"/>
      <c r="H74" s="250"/>
      <c r="I74" s="250"/>
      <c r="J74" s="250"/>
      <c r="K74" s="250"/>
      <c r="L74" s="250"/>
      <c r="M74" s="250"/>
      <c r="N74" s="250"/>
      <c r="O74" s="250"/>
      <c r="P74" s="250"/>
      <c r="Q74" s="250"/>
      <c r="R74" s="250"/>
      <c r="S74" s="250"/>
      <c r="T74" s="250"/>
      <c r="U74" s="250"/>
      <c r="V74" s="250"/>
      <c r="W74" s="250"/>
      <c r="X74" s="4"/>
      <c r="Y74" s="4"/>
      <c r="Z74" s="4"/>
      <c r="AA74" s="4"/>
    </row>
    <row r="75" spans="1:27" s="248" customFormat="1" ht="15" x14ac:dyDescent="0.25">
      <c r="A75" s="250"/>
      <c r="B75" s="769" t="s">
        <v>1072</v>
      </c>
      <c r="C75" s="769" t="s">
        <v>1073</v>
      </c>
      <c r="D75" s="770" t="s">
        <v>1039</v>
      </c>
      <c r="E75" s="771">
        <v>3</v>
      </c>
      <c r="F75" s="770" t="s">
        <v>1040</v>
      </c>
      <c r="G75" s="772">
        <v>4</v>
      </c>
      <c r="H75" s="772">
        <f>(M75*N75)/G75</f>
        <v>3</v>
      </c>
      <c r="I75" s="772">
        <f>G75*H75*N75</f>
        <v>36</v>
      </c>
      <c r="J75" s="772">
        <v>27</v>
      </c>
      <c r="K75" s="773">
        <v>1.79</v>
      </c>
      <c r="L75" s="773" t="s">
        <v>128</v>
      </c>
      <c r="M75" s="772">
        <v>4</v>
      </c>
      <c r="N75" s="769">
        <v>3</v>
      </c>
      <c r="O75" s="782">
        <f>((13.83-12)*30)/28</f>
        <v>1.9607142857142859</v>
      </c>
      <c r="P75" s="775">
        <f>'Inputs and eligible population'!I61</f>
        <v>0</v>
      </c>
      <c r="Q75" s="776">
        <f>'Inputs and eligible population'!J61</f>
        <v>0.2</v>
      </c>
      <c r="R75" s="777">
        <f>(((H75/E75)*P75*O75*(100%+Q75)))</f>
        <v>0</v>
      </c>
      <c r="S75" s="250"/>
      <c r="T75" s="250"/>
      <c r="U75" s="250"/>
      <c r="V75" s="250"/>
      <c r="W75" s="250"/>
      <c r="X75" s="4"/>
      <c r="Y75" s="4"/>
      <c r="Z75" s="4"/>
      <c r="AA75" s="4"/>
    </row>
    <row r="76" spans="1:27" s="248" customFormat="1" ht="15" x14ac:dyDescent="0.25">
      <c r="A76" s="250"/>
      <c r="B76" s="769" t="s">
        <v>1059</v>
      </c>
      <c r="C76" s="769" t="s">
        <v>1046</v>
      </c>
      <c r="D76" s="770" t="s">
        <v>1039</v>
      </c>
      <c r="E76" s="771">
        <v>50</v>
      </c>
      <c r="F76" s="770" t="s">
        <v>1040</v>
      </c>
      <c r="G76" s="772">
        <v>8</v>
      </c>
      <c r="H76" s="772">
        <f>(M76*N76)/(E76*G76)</f>
        <v>0.4</v>
      </c>
      <c r="I76" s="772">
        <f>M76*N76*O76</f>
        <v>313.71428571428572</v>
      </c>
      <c r="J76" s="772">
        <v>40</v>
      </c>
      <c r="K76" s="773" t="s">
        <v>128</v>
      </c>
      <c r="L76" s="773" t="s">
        <v>128</v>
      </c>
      <c r="M76" s="772">
        <v>40</v>
      </c>
      <c r="N76" s="769">
        <v>4</v>
      </c>
      <c r="O76" s="782">
        <f t="shared" ref="O76:O77" si="2">((13.83-12)*30)/28</f>
        <v>1.9607142857142859</v>
      </c>
      <c r="P76" s="775">
        <f>'Inputs and eligible population'!I57</f>
        <v>0</v>
      </c>
      <c r="Q76" s="776">
        <f>'Inputs and eligible population'!J57</f>
        <v>0.2</v>
      </c>
      <c r="R76" s="777">
        <f>H76*P76*O76*(100%+Q76)</f>
        <v>0</v>
      </c>
      <c r="S76" s="250"/>
      <c r="T76" s="250"/>
      <c r="U76" s="250"/>
      <c r="V76" s="250"/>
      <c r="W76" s="250"/>
      <c r="X76" s="4"/>
      <c r="Y76" s="4"/>
      <c r="Z76" s="4"/>
      <c r="AA76" s="4"/>
    </row>
    <row r="77" spans="1:27" s="248" customFormat="1" ht="15" x14ac:dyDescent="0.25">
      <c r="A77" s="250"/>
      <c r="B77" s="769" t="s">
        <v>1049</v>
      </c>
      <c r="C77" s="769" t="s">
        <v>1050</v>
      </c>
      <c r="D77" s="770" t="s">
        <v>1039</v>
      </c>
      <c r="E77" s="771">
        <v>21</v>
      </c>
      <c r="F77" s="770" t="s">
        <v>1040</v>
      </c>
      <c r="G77" s="772">
        <v>25</v>
      </c>
      <c r="H77" s="772">
        <f>(J77/G77)*N77</f>
        <v>21</v>
      </c>
      <c r="I77" s="772">
        <f>G77*H77</f>
        <v>525</v>
      </c>
      <c r="J77" s="772">
        <v>25</v>
      </c>
      <c r="K77" s="773" t="s">
        <v>128</v>
      </c>
      <c r="L77" s="773" t="s">
        <v>128</v>
      </c>
      <c r="M77" s="772">
        <v>25</v>
      </c>
      <c r="N77" s="769">
        <v>21</v>
      </c>
      <c r="O77" s="782">
        <f t="shared" si="2"/>
        <v>1.9607142857142859</v>
      </c>
      <c r="P77" s="775">
        <f>'Inputs and eligible population'!I58</f>
        <v>0</v>
      </c>
      <c r="Q77" s="776">
        <f>'Inputs and eligible population'!J58</f>
        <v>0.2</v>
      </c>
      <c r="R77" s="777">
        <f>(((H77/E77)*P77*O77*(100%+Q77)))</f>
        <v>0</v>
      </c>
      <c r="S77" s="250"/>
      <c r="T77" s="250"/>
      <c r="U77" s="250"/>
      <c r="V77" s="250"/>
      <c r="W77" s="250"/>
      <c r="X77" s="4"/>
      <c r="Y77" s="4"/>
      <c r="Z77" s="4"/>
      <c r="AA77" s="4"/>
    </row>
    <row r="78" spans="1:27" s="248" customFormat="1" ht="15" x14ac:dyDescent="0.25">
      <c r="A78" s="250"/>
      <c r="B78" s="781" t="s">
        <v>1075</v>
      </c>
      <c r="C78" s="253" t="s">
        <v>129</v>
      </c>
      <c r="D78" s="255"/>
      <c r="E78" s="255"/>
      <c r="F78" s="255"/>
      <c r="G78" s="255"/>
      <c r="H78" s="255"/>
      <c r="I78" s="255"/>
      <c r="J78" s="255"/>
      <c r="K78" s="255"/>
      <c r="L78" s="255"/>
      <c r="M78" s="255"/>
      <c r="N78" s="255"/>
      <c r="O78" s="255"/>
      <c r="P78" s="255"/>
      <c r="Q78" s="254"/>
      <c r="R78" s="780">
        <f>SUM(R75:R77)</f>
        <v>0</v>
      </c>
      <c r="S78" s="250"/>
      <c r="T78" s="250"/>
      <c r="U78" s="250"/>
      <c r="V78" s="250"/>
      <c r="W78" s="250"/>
      <c r="X78" s="4"/>
      <c r="Y78" s="4"/>
      <c r="Z78" s="4"/>
      <c r="AA78" s="4"/>
    </row>
    <row r="79" spans="1:27" s="248" customFormat="1" ht="15" x14ac:dyDescent="0.25">
      <c r="A79" s="250"/>
      <c r="B79" s="200"/>
      <c r="C79" s="253"/>
      <c r="D79" s="255"/>
      <c r="E79" s="255"/>
      <c r="F79" s="255"/>
      <c r="G79" s="255"/>
      <c r="H79" s="255"/>
      <c r="I79" s="255"/>
      <c r="J79" s="255"/>
      <c r="K79" s="255"/>
      <c r="L79" s="255"/>
      <c r="M79" s="255"/>
      <c r="N79" s="255"/>
      <c r="O79" s="255"/>
      <c r="P79" s="255"/>
      <c r="Q79" s="254"/>
      <c r="R79" s="665"/>
      <c r="S79" s="250"/>
      <c r="T79" s="250"/>
      <c r="U79" s="250"/>
      <c r="V79" s="250"/>
      <c r="W79" s="250"/>
      <c r="X79" s="4"/>
      <c r="Y79" s="4"/>
      <c r="Z79" s="4"/>
      <c r="AA79" s="4"/>
    </row>
    <row r="80" spans="1:27" s="248" customFormat="1" ht="15" x14ac:dyDescent="0.25">
      <c r="A80" s="250"/>
      <c r="B80" s="769" t="s">
        <v>1295</v>
      </c>
      <c r="C80" s="769" t="s">
        <v>1209</v>
      </c>
      <c r="D80" s="770" t="s">
        <v>1039</v>
      </c>
      <c r="E80" s="771">
        <v>6</v>
      </c>
      <c r="F80" s="770" t="s">
        <v>1040</v>
      </c>
      <c r="G80" s="772">
        <v>20</v>
      </c>
      <c r="H80" s="772">
        <f>J80/M80*N80</f>
        <v>6</v>
      </c>
      <c r="I80" s="772">
        <f>G80*H80</f>
        <v>120</v>
      </c>
      <c r="J80" s="772">
        <v>20</v>
      </c>
      <c r="K80" s="773" t="s">
        <v>128</v>
      </c>
      <c r="L80" s="773" t="s">
        <v>128</v>
      </c>
      <c r="M80" s="772">
        <v>20</v>
      </c>
      <c r="N80" s="769">
        <v>6</v>
      </c>
      <c r="O80" s="782">
        <v>11.5</v>
      </c>
      <c r="P80" s="775">
        <f>'Inputs and eligible population'!I62</f>
        <v>0</v>
      </c>
      <c r="Q80" s="776">
        <f>'Inputs and eligible population'!J62</f>
        <v>0.2</v>
      </c>
      <c r="R80" s="777">
        <f>(((H80/E80)*P80*O80*(100%+Q80)))</f>
        <v>0</v>
      </c>
      <c r="S80" s="250"/>
      <c r="T80" s="250"/>
      <c r="U80" s="250"/>
      <c r="V80" s="250"/>
      <c r="W80" s="250"/>
      <c r="X80" s="4"/>
      <c r="Y80" s="4"/>
      <c r="Z80" s="4"/>
      <c r="AA80" s="4"/>
    </row>
    <row r="81" spans="1:27" s="248" customFormat="1" ht="15" x14ac:dyDescent="0.25">
      <c r="A81" s="250"/>
      <c r="B81" s="769" t="s">
        <v>1041</v>
      </c>
      <c r="C81" s="769" t="s">
        <v>1042</v>
      </c>
      <c r="D81" s="770" t="s">
        <v>1043</v>
      </c>
      <c r="E81" s="771">
        <v>1</v>
      </c>
      <c r="F81" s="770" t="s">
        <v>1044</v>
      </c>
      <c r="G81" s="772">
        <v>3.5</v>
      </c>
      <c r="H81" s="772">
        <f>I81/G81</f>
        <v>2.6594285714285713</v>
      </c>
      <c r="I81" s="772">
        <f>M81*N81</f>
        <v>9.3079999999999998</v>
      </c>
      <c r="J81" s="778">
        <v>1.3</v>
      </c>
      <c r="K81" s="773">
        <v>1.79</v>
      </c>
      <c r="L81" s="773" t="s">
        <v>128</v>
      </c>
      <c r="M81" s="779">
        <f>J81*K81</f>
        <v>2.327</v>
      </c>
      <c r="N81" s="769">
        <v>4</v>
      </c>
      <c r="O81" s="774">
        <v>8.5</v>
      </c>
      <c r="P81" s="775">
        <f>'Inputs and eligible population'!I56</f>
        <v>0</v>
      </c>
      <c r="Q81" s="776">
        <f>'Inputs and eligible population'!J56</f>
        <v>0.2</v>
      </c>
      <c r="R81" s="777">
        <f>(((H81/E81)*P81*O81*(100%+Q81)))</f>
        <v>0</v>
      </c>
      <c r="S81" s="250"/>
      <c r="T81" s="250"/>
      <c r="U81" s="250"/>
      <c r="V81" s="250"/>
      <c r="W81" s="250"/>
      <c r="X81" s="4"/>
      <c r="Y81" s="4"/>
      <c r="Z81" s="4"/>
      <c r="AA81" s="4"/>
    </row>
    <row r="82" spans="1:27" s="248" customFormat="1" ht="15" x14ac:dyDescent="0.25">
      <c r="A82" s="250"/>
      <c r="B82" s="769" t="s">
        <v>1045</v>
      </c>
      <c r="C82" s="769" t="s">
        <v>1046</v>
      </c>
      <c r="D82" s="770" t="s">
        <v>1039</v>
      </c>
      <c r="E82" s="771">
        <v>50</v>
      </c>
      <c r="F82" s="770" t="s">
        <v>1040</v>
      </c>
      <c r="G82" s="772">
        <v>8</v>
      </c>
      <c r="H82" s="772">
        <f>(M82*N82)/(E82*G82)</f>
        <v>0.5</v>
      </c>
      <c r="I82" s="772">
        <f>M82*N82*O82</f>
        <v>1700</v>
      </c>
      <c r="J82" s="772">
        <v>20</v>
      </c>
      <c r="K82" s="773" t="s">
        <v>128</v>
      </c>
      <c r="L82" s="773" t="s">
        <v>128</v>
      </c>
      <c r="M82" s="772">
        <v>20</v>
      </c>
      <c r="N82" s="769">
        <v>10</v>
      </c>
      <c r="O82" s="774">
        <v>8.5</v>
      </c>
      <c r="P82" s="775">
        <f>'Inputs and eligible population'!I57</f>
        <v>0</v>
      </c>
      <c r="Q82" s="776">
        <f>'Inputs and eligible population'!J57</f>
        <v>0.2</v>
      </c>
      <c r="R82" s="777">
        <f>H82*P82*O82*(100%+Q82)</f>
        <v>0</v>
      </c>
      <c r="S82" s="250"/>
      <c r="T82" s="250"/>
      <c r="U82" s="250"/>
      <c r="V82" s="250"/>
      <c r="W82" s="250"/>
      <c r="X82" s="4"/>
      <c r="Y82" s="4"/>
      <c r="Z82" s="4"/>
      <c r="AA82" s="4"/>
    </row>
    <row r="83" spans="1:27" s="248" customFormat="1" ht="15" x14ac:dyDescent="0.25">
      <c r="A83" s="250"/>
      <c r="B83" s="781" t="s">
        <v>1305</v>
      </c>
      <c r="C83" s="253" t="s">
        <v>129</v>
      </c>
      <c r="D83" s="255"/>
      <c r="E83" s="255"/>
      <c r="F83" s="255"/>
      <c r="G83" s="255"/>
      <c r="H83" s="255"/>
      <c r="I83" s="255"/>
      <c r="J83" s="255"/>
      <c r="K83" s="255"/>
      <c r="L83" s="255"/>
      <c r="M83" s="255"/>
      <c r="N83" s="255"/>
      <c r="O83" s="255"/>
      <c r="P83" s="255"/>
      <c r="Q83" s="254"/>
      <c r="R83" s="780">
        <f>SUM(R80:R82)</f>
        <v>0</v>
      </c>
      <c r="S83" s="250"/>
      <c r="T83" s="250"/>
      <c r="U83" s="250"/>
      <c r="V83" s="250"/>
      <c r="W83" s="250"/>
      <c r="X83" s="4"/>
      <c r="Y83" s="4"/>
      <c r="Z83" s="4"/>
      <c r="AA83" s="4"/>
    </row>
    <row r="84" spans="1:27" s="248" customFormat="1" ht="15" x14ac:dyDescent="0.25">
      <c r="A84" s="250"/>
      <c r="B84" s="200"/>
      <c r="C84" s="253"/>
      <c r="D84" s="255"/>
      <c r="E84" s="255"/>
      <c r="F84" s="255"/>
      <c r="G84" s="255"/>
      <c r="H84" s="255"/>
      <c r="I84" s="255"/>
      <c r="J84" s="255"/>
      <c r="K84" s="255"/>
      <c r="L84" s="255"/>
      <c r="M84" s="255"/>
      <c r="N84" s="255"/>
      <c r="O84" s="255"/>
      <c r="P84" s="255"/>
      <c r="Q84" s="254"/>
      <c r="R84" s="665"/>
      <c r="S84" s="250"/>
      <c r="T84" s="250"/>
      <c r="U84" s="250"/>
      <c r="V84" s="250"/>
      <c r="W84" s="250"/>
      <c r="X84" s="4"/>
      <c r="Y84" s="4"/>
      <c r="Z84" s="4"/>
      <c r="AA84" s="4"/>
    </row>
    <row r="85" spans="1:27" s="248" customFormat="1" ht="15" x14ac:dyDescent="0.25">
      <c r="A85" s="250"/>
      <c r="B85" s="769" t="s">
        <v>1295</v>
      </c>
      <c r="C85" s="769" t="s">
        <v>1209</v>
      </c>
      <c r="D85" s="770" t="s">
        <v>1039</v>
      </c>
      <c r="E85" s="771">
        <v>6</v>
      </c>
      <c r="F85" s="770" t="s">
        <v>1040</v>
      </c>
      <c r="G85" s="772">
        <v>20</v>
      </c>
      <c r="H85" s="772">
        <f>J85/M85*N85</f>
        <v>6</v>
      </c>
      <c r="I85" s="772">
        <f>G85*H85</f>
        <v>120</v>
      </c>
      <c r="J85" s="772">
        <v>20</v>
      </c>
      <c r="K85" s="773" t="s">
        <v>128</v>
      </c>
      <c r="L85" s="773" t="s">
        <v>128</v>
      </c>
      <c r="M85" s="772">
        <v>20</v>
      </c>
      <c r="N85" s="769">
        <v>6</v>
      </c>
      <c r="O85" s="782">
        <v>0</v>
      </c>
      <c r="P85" s="775">
        <f>'Inputs and eligible population'!I62</f>
        <v>0</v>
      </c>
      <c r="Q85" s="776">
        <f>'Inputs and eligible population'!J62</f>
        <v>0.2</v>
      </c>
      <c r="R85" s="777">
        <f>(((H85/E85)*P85*O85*(100%+Q85)))</f>
        <v>0</v>
      </c>
      <c r="S85" s="250"/>
      <c r="T85" s="250"/>
      <c r="U85" s="250"/>
      <c r="V85" s="250"/>
      <c r="W85" s="250"/>
      <c r="X85" s="4"/>
      <c r="Y85" s="4"/>
      <c r="Z85" s="4"/>
      <c r="AA85" s="4"/>
    </row>
    <row r="86" spans="1:27" s="248" customFormat="1" ht="15" x14ac:dyDescent="0.25">
      <c r="A86" s="250"/>
      <c r="B86" s="769" t="s">
        <v>1041</v>
      </c>
      <c r="C86" s="769" t="s">
        <v>1042</v>
      </c>
      <c r="D86" s="770" t="s">
        <v>1043</v>
      </c>
      <c r="E86" s="771">
        <v>1</v>
      </c>
      <c r="F86" s="770" t="s">
        <v>1044</v>
      </c>
      <c r="G86" s="772">
        <v>3.5</v>
      </c>
      <c r="H86" s="772">
        <f>I86/G86</f>
        <v>2.6594285714285713</v>
      </c>
      <c r="I86" s="772">
        <f>M86*N86</f>
        <v>9.3079999999999998</v>
      </c>
      <c r="J86" s="778">
        <v>1.3</v>
      </c>
      <c r="K86" s="773">
        <v>1.79</v>
      </c>
      <c r="L86" s="773" t="s">
        <v>128</v>
      </c>
      <c r="M86" s="779">
        <f>J86*K86</f>
        <v>2.327</v>
      </c>
      <c r="N86" s="769">
        <v>4</v>
      </c>
      <c r="O86" s="782">
        <v>0</v>
      </c>
      <c r="P86" s="775">
        <f>'Inputs and eligible population'!I56</f>
        <v>0</v>
      </c>
      <c r="Q86" s="776">
        <f>'Inputs and eligible population'!J56</f>
        <v>0.2</v>
      </c>
      <c r="R86" s="777">
        <f>(((H86/E86)*P86*O86*(100%+Q86)))</f>
        <v>0</v>
      </c>
      <c r="S86" s="250"/>
      <c r="T86" s="250"/>
      <c r="U86" s="250"/>
      <c r="V86" s="250"/>
      <c r="W86" s="250"/>
      <c r="X86" s="4"/>
      <c r="Y86" s="4"/>
      <c r="Z86" s="4"/>
      <c r="AA86" s="4"/>
    </row>
    <row r="87" spans="1:27" s="248" customFormat="1" ht="15" x14ac:dyDescent="0.25">
      <c r="A87" s="250"/>
      <c r="B87" s="769" t="s">
        <v>1045</v>
      </c>
      <c r="C87" s="769" t="s">
        <v>1046</v>
      </c>
      <c r="D87" s="770" t="s">
        <v>1039</v>
      </c>
      <c r="E87" s="771">
        <v>50</v>
      </c>
      <c r="F87" s="770" t="s">
        <v>1040</v>
      </c>
      <c r="G87" s="772">
        <v>8</v>
      </c>
      <c r="H87" s="772">
        <f>(M87*N87)/(E87*G87)</f>
        <v>0.5</v>
      </c>
      <c r="I87" s="772">
        <f>M87*N87*O87</f>
        <v>0</v>
      </c>
      <c r="J87" s="772">
        <v>20</v>
      </c>
      <c r="K87" s="773" t="s">
        <v>128</v>
      </c>
      <c r="L87" s="773" t="s">
        <v>128</v>
      </c>
      <c r="M87" s="772">
        <v>20</v>
      </c>
      <c r="N87" s="769">
        <v>10</v>
      </c>
      <c r="O87" s="782">
        <v>0</v>
      </c>
      <c r="P87" s="775">
        <f>'Inputs and eligible population'!I57</f>
        <v>0</v>
      </c>
      <c r="Q87" s="776">
        <f>'Inputs and eligible population'!J57</f>
        <v>0.2</v>
      </c>
      <c r="R87" s="777">
        <f>H87*P87*O87*(100%+Q87)</f>
        <v>0</v>
      </c>
      <c r="S87" s="250"/>
      <c r="T87" s="250"/>
      <c r="U87" s="250"/>
      <c r="V87" s="250"/>
      <c r="W87" s="250"/>
      <c r="X87" s="4"/>
      <c r="Y87" s="4"/>
      <c r="Z87" s="4"/>
      <c r="AA87" s="4"/>
    </row>
    <row r="88" spans="1:27" s="248" customFormat="1" ht="15" x14ac:dyDescent="0.25">
      <c r="A88" s="250"/>
      <c r="B88" s="781" t="s">
        <v>1306</v>
      </c>
      <c r="C88" s="253" t="s">
        <v>129</v>
      </c>
      <c r="D88" s="255"/>
      <c r="E88" s="255"/>
      <c r="F88" s="255"/>
      <c r="G88" s="255"/>
      <c r="H88" s="255"/>
      <c r="I88" s="255"/>
      <c r="J88" s="255"/>
      <c r="K88" s="255"/>
      <c r="L88" s="255"/>
      <c r="M88" s="255"/>
      <c r="N88" s="255"/>
      <c r="O88" s="255"/>
      <c r="P88" s="255"/>
      <c r="Q88" s="254"/>
      <c r="R88" s="780">
        <f>SUM(R85:R87)</f>
        <v>0</v>
      </c>
      <c r="S88" s="250"/>
      <c r="T88" s="250"/>
      <c r="U88" s="250"/>
      <c r="V88" s="250"/>
      <c r="W88" s="250"/>
      <c r="X88" s="4"/>
      <c r="Y88" s="4"/>
      <c r="Z88" s="4"/>
      <c r="AA88" s="4"/>
    </row>
    <row r="89" spans="1:27" s="248" customFormat="1" ht="15" x14ac:dyDescent="0.25">
      <c r="A89" s="250"/>
      <c r="B89" s="196"/>
      <c r="C89" s="5"/>
      <c r="D89" s="178"/>
      <c r="E89" s="112"/>
      <c r="F89" s="179"/>
      <c r="G89" s="180"/>
      <c r="H89" s="5"/>
      <c r="I89" s="5"/>
      <c r="J89" s="181"/>
      <c r="K89" s="180"/>
      <c r="L89" s="180"/>
      <c r="M89" s="180"/>
      <c r="N89" s="180"/>
      <c r="O89" s="180"/>
      <c r="P89" s="180"/>
      <c r="Q89" s="5"/>
      <c r="R89" s="666"/>
      <c r="S89" s="250"/>
      <c r="T89" s="250"/>
      <c r="U89" s="250"/>
      <c r="V89" s="250"/>
      <c r="W89" s="250"/>
      <c r="X89" s="4"/>
      <c r="Y89" s="4"/>
      <c r="Z89" s="4"/>
      <c r="AA89" s="4"/>
    </row>
    <row r="90" spans="1:27" s="248" customFormat="1" ht="15" x14ac:dyDescent="0.25">
      <c r="A90" s="250"/>
      <c r="B90" s="196" t="s">
        <v>1301</v>
      </c>
      <c r="C90" s="5"/>
      <c r="D90" s="178"/>
      <c r="E90" s="112"/>
      <c r="F90" s="179"/>
      <c r="G90" s="180"/>
      <c r="H90" s="5"/>
      <c r="I90" s="5"/>
      <c r="J90" s="181"/>
      <c r="K90" s="180"/>
      <c r="L90" s="180"/>
      <c r="M90" s="180"/>
      <c r="N90" s="180"/>
      <c r="O90" s="180"/>
      <c r="P90" s="180"/>
      <c r="Q90" s="5"/>
      <c r="R90" s="666"/>
      <c r="S90" s="250"/>
      <c r="T90" s="250"/>
      <c r="U90" s="250"/>
      <c r="V90" s="250"/>
      <c r="W90" s="250"/>
      <c r="X90" s="4"/>
      <c r="Y90" s="4"/>
      <c r="Z90" s="4"/>
      <c r="AA90" s="4"/>
    </row>
    <row r="91" spans="1:27" s="248" customFormat="1" ht="15" x14ac:dyDescent="0.25">
      <c r="A91" s="250"/>
      <c r="B91" s="196" t="s">
        <v>1300</v>
      </c>
      <c r="C91" s="5"/>
      <c r="D91" s="178"/>
      <c r="E91" s="112"/>
      <c r="F91" s="179"/>
      <c r="G91" s="180"/>
      <c r="H91" s="5"/>
      <c r="I91" s="5"/>
      <c r="J91" s="181"/>
      <c r="K91" s="180"/>
      <c r="L91" s="180"/>
      <c r="M91" s="180"/>
      <c r="N91" s="180"/>
      <c r="O91" s="180"/>
      <c r="P91" s="180"/>
      <c r="Q91" s="5"/>
      <c r="R91" s="666"/>
      <c r="S91" s="250"/>
      <c r="T91" s="250"/>
      <c r="U91" s="250"/>
      <c r="V91" s="250"/>
      <c r="W91" s="250"/>
      <c r="X91" s="4"/>
      <c r="Y91" s="4"/>
      <c r="Z91" s="4"/>
      <c r="AA91" s="4"/>
    </row>
    <row r="92" spans="1:27" s="248" customFormat="1" ht="15" x14ac:dyDescent="0.25">
      <c r="A92" s="250"/>
      <c r="B92" s="196" t="s">
        <v>1299</v>
      </c>
      <c r="C92" s="5"/>
      <c r="D92" s="178"/>
      <c r="E92" s="112"/>
      <c r="F92" s="179"/>
      <c r="G92" s="180"/>
      <c r="H92" s="5"/>
      <c r="I92" s="5"/>
      <c r="J92" s="181"/>
      <c r="K92" s="180"/>
      <c r="L92" s="180"/>
      <c r="M92" s="180"/>
      <c r="N92" s="180"/>
      <c r="O92" s="180"/>
      <c r="P92" s="180"/>
      <c r="Q92" s="5"/>
      <c r="R92" s="666"/>
      <c r="S92" s="250"/>
      <c r="T92" s="250"/>
      <c r="U92" s="250"/>
      <c r="V92" s="250"/>
      <c r="W92" s="250"/>
      <c r="X92" s="4"/>
      <c r="Y92" s="4"/>
      <c r="Z92" s="4"/>
      <c r="AA92" s="4"/>
    </row>
    <row r="93" spans="1:27" s="248" customFormat="1" ht="15" x14ac:dyDescent="0.25">
      <c r="A93" s="250"/>
      <c r="B93" s="364" t="s">
        <v>1090</v>
      </c>
      <c r="C93" s="5"/>
      <c r="D93" s="178"/>
      <c r="E93" s="112"/>
      <c r="F93" s="179"/>
      <c r="G93" s="180"/>
      <c r="H93" s="5"/>
      <c r="I93" s="5"/>
      <c r="J93" s="181"/>
      <c r="K93" s="180"/>
      <c r="L93" s="180"/>
      <c r="M93" s="180"/>
      <c r="N93" s="180"/>
      <c r="O93" s="180"/>
      <c r="P93" s="181"/>
      <c r="Q93" s="5"/>
      <c r="R93" s="666"/>
      <c r="S93" s="250"/>
      <c r="T93" s="250"/>
      <c r="U93" s="250"/>
      <c r="V93" s="250"/>
      <c r="W93" s="250"/>
      <c r="X93" s="4"/>
      <c r="Y93" s="4"/>
      <c r="Z93" s="4"/>
      <c r="AA93" s="4"/>
    </row>
    <row r="94" spans="1:27" s="248" customFormat="1" ht="15" x14ac:dyDescent="0.25">
      <c r="A94" s="250"/>
      <c r="B94" s="195" t="s">
        <v>1076</v>
      </c>
      <c r="C94" s="5"/>
      <c r="D94" s="178"/>
      <c r="E94" s="112"/>
      <c r="F94" s="179"/>
      <c r="G94" s="180"/>
      <c r="H94" s="5"/>
      <c r="I94" s="5"/>
      <c r="J94" s="181"/>
      <c r="K94" s="180"/>
      <c r="L94" s="180"/>
      <c r="M94" s="180"/>
      <c r="N94" s="180"/>
      <c r="O94" s="180"/>
      <c r="P94" s="181"/>
      <c r="Q94" s="5"/>
      <c r="R94" s="666"/>
      <c r="S94" s="250"/>
      <c r="T94" s="250"/>
      <c r="U94" s="250"/>
      <c r="V94" s="250"/>
      <c r="W94" s="250"/>
      <c r="X94" s="4"/>
      <c r="Y94" s="4"/>
      <c r="Z94" s="4"/>
      <c r="AA94" s="4"/>
    </row>
    <row r="95" spans="1:27" s="248" customFormat="1" ht="15" x14ac:dyDescent="0.25">
      <c r="A95" s="250"/>
      <c r="B95" s="195"/>
      <c r="C95" s="5"/>
      <c r="D95" s="178"/>
      <c r="E95" s="112"/>
      <c r="F95" s="179"/>
      <c r="G95" s="180"/>
      <c r="H95" s="5"/>
      <c r="I95" s="5"/>
      <c r="J95" s="181"/>
      <c r="K95" s="180"/>
      <c r="L95" s="180"/>
      <c r="M95" s="180"/>
      <c r="N95" s="180"/>
      <c r="O95" s="180"/>
      <c r="P95" s="181"/>
      <c r="Q95" s="5"/>
      <c r="R95" s="666"/>
      <c r="S95" s="250"/>
      <c r="T95" s="250"/>
      <c r="U95" s="250"/>
      <c r="V95" s="250"/>
      <c r="W95" s="250"/>
      <c r="X95" s="4"/>
      <c r="Y95" s="4"/>
      <c r="Z95" s="4"/>
      <c r="AA95" s="4"/>
    </row>
    <row r="96" spans="1:27" s="248" customFormat="1" ht="15" x14ac:dyDescent="0.25">
      <c r="A96" s="5"/>
      <c r="B96" s="246" t="s">
        <v>130</v>
      </c>
      <c r="C96" s="250"/>
      <c r="D96" s="178"/>
      <c r="E96" s="112"/>
      <c r="F96" s="179"/>
      <c r="G96" s="180"/>
      <c r="H96" s="5"/>
      <c r="I96" s="5"/>
      <c r="J96" s="181"/>
      <c r="K96" s="180"/>
      <c r="L96" s="180"/>
      <c r="M96" s="180"/>
      <c r="N96" s="180"/>
      <c r="O96" s="180"/>
      <c r="P96" s="181"/>
      <c r="Q96" s="495"/>
      <c r="R96" s="666"/>
      <c r="S96" s="667"/>
      <c r="T96" s="667"/>
      <c r="U96" s="667"/>
      <c r="V96" s="667"/>
      <c r="W96" s="667"/>
      <c r="X96" s="4"/>
      <c r="Y96" s="4"/>
      <c r="Z96" s="4"/>
      <c r="AA96" s="4"/>
    </row>
    <row r="97" spans="1:27" s="248" customFormat="1" ht="15" x14ac:dyDescent="0.25">
      <c r="A97" s="5"/>
      <c r="B97" s="249" t="s">
        <v>131</v>
      </c>
      <c r="C97" s="251" t="s">
        <v>132</v>
      </c>
      <c r="D97" s="251" t="s">
        <v>60</v>
      </c>
      <c r="E97" s="256" t="s">
        <v>133</v>
      </c>
      <c r="F97" s="468"/>
      <c r="G97" s="469"/>
      <c r="H97" s="470"/>
      <c r="I97" s="469"/>
      <c r="J97" s="470"/>
      <c r="K97" s="469"/>
      <c r="L97" s="470"/>
      <c r="M97" s="469"/>
      <c r="N97" s="469"/>
      <c r="O97" s="473" t="s">
        <v>134</v>
      </c>
      <c r="P97" s="181"/>
      <c r="Q97" s="496"/>
      <c r="R97" s="666"/>
      <c r="S97" s="667"/>
      <c r="T97" s="667"/>
      <c r="U97" s="667"/>
      <c r="V97" s="667"/>
      <c r="W97" s="667"/>
      <c r="X97" s="4"/>
      <c r="Y97" s="4"/>
      <c r="Z97" s="4"/>
      <c r="AA97" s="4"/>
    </row>
    <row r="98" spans="1:27" s="248" customFormat="1" ht="15" x14ac:dyDescent="0.25">
      <c r="A98" s="5"/>
      <c r="B98" s="769" t="s">
        <v>1077</v>
      </c>
      <c r="C98" s="783" t="s">
        <v>1078</v>
      </c>
      <c r="D98" s="784">
        <v>1</v>
      </c>
      <c r="E98" s="669" t="s">
        <v>1079</v>
      </c>
      <c r="F98" s="671"/>
      <c r="G98" s="672"/>
      <c r="H98" s="673"/>
      <c r="I98" s="673"/>
      <c r="J98" s="673"/>
      <c r="K98" s="673"/>
      <c r="L98" s="672"/>
      <c r="M98" s="672"/>
      <c r="N98" s="674"/>
      <c r="O98" s="675">
        <v>345</v>
      </c>
      <c r="P98" s="181"/>
      <c r="Q98" s="497" t="s">
        <v>135</v>
      </c>
      <c r="R98" s="666"/>
      <c r="S98" s="667"/>
      <c r="T98" s="667"/>
      <c r="U98" s="667"/>
      <c r="V98" s="667"/>
      <c r="W98" s="667"/>
      <c r="X98" s="4"/>
      <c r="Y98" s="4"/>
      <c r="Z98" s="4"/>
      <c r="AA98" s="4"/>
    </row>
    <row r="99" spans="1:27" s="4" customFormat="1" ht="15" x14ac:dyDescent="0.25">
      <c r="A99" s="5"/>
      <c r="B99" s="769" t="s">
        <v>1080</v>
      </c>
      <c r="C99" s="783" t="s">
        <v>1081</v>
      </c>
      <c r="D99" s="784">
        <v>1</v>
      </c>
      <c r="E99" s="669" t="s">
        <v>1082</v>
      </c>
      <c r="F99" s="671"/>
      <c r="G99" s="672"/>
      <c r="H99" s="673"/>
      <c r="I99" s="673"/>
      <c r="J99" s="673"/>
      <c r="K99" s="673"/>
      <c r="L99" s="672"/>
      <c r="M99" s="672"/>
      <c r="N99" s="674"/>
      <c r="O99" s="675">
        <v>345</v>
      </c>
      <c r="P99" s="181"/>
      <c r="Q99" s="497" t="s">
        <v>136</v>
      </c>
      <c r="R99" s="666"/>
      <c r="S99" s="667"/>
      <c r="T99" s="667"/>
      <c r="U99" s="667"/>
      <c r="V99" s="667"/>
      <c r="W99" s="667"/>
    </row>
    <row r="100" spans="1:27" s="4" customFormat="1" ht="15" x14ac:dyDescent="0.25">
      <c r="A100" s="5"/>
      <c r="B100" s="471"/>
      <c r="C100" s="5"/>
      <c r="D100" s="178"/>
      <c r="E100" s="112"/>
      <c r="F100" s="179"/>
      <c r="G100" s="180"/>
      <c r="H100" s="5"/>
      <c r="I100" s="5"/>
      <c r="J100" s="181"/>
      <c r="K100" s="180"/>
      <c r="L100" s="180"/>
      <c r="M100" s="180"/>
      <c r="N100" s="180"/>
      <c r="O100" s="180"/>
      <c r="P100" s="181"/>
      <c r="Q100" s="497" t="s">
        <v>137</v>
      </c>
      <c r="R100" s="666"/>
      <c r="S100" s="667"/>
      <c r="T100" s="667"/>
      <c r="U100" s="667"/>
      <c r="V100" s="667"/>
      <c r="W100" s="667"/>
    </row>
    <row r="101" spans="1:27" s="4" customFormat="1" ht="15" x14ac:dyDescent="0.25">
      <c r="A101" s="5"/>
      <c r="B101" s="769" t="s">
        <v>1083</v>
      </c>
      <c r="C101" s="783" t="s">
        <v>1084</v>
      </c>
      <c r="D101" s="784">
        <v>1</v>
      </c>
      <c r="E101" s="669" t="s">
        <v>1085</v>
      </c>
      <c r="F101" s="671"/>
      <c r="G101" s="672"/>
      <c r="H101" s="673"/>
      <c r="I101" s="673"/>
      <c r="J101" s="673"/>
      <c r="K101" s="673"/>
      <c r="L101" s="672"/>
      <c r="M101" s="672"/>
      <c r="N101" s="674"/>
      <c r="O101" s="675">
        <v>138</v>
      </c>
      <c r="P101" s="181"/>
      <c r="Q101" s="497" t="s">
        <v>138</v>
      </c>
      <c r="R101" s="666"/>
      <c r="S101" s="667"/>
      <c r="T101" s="667"/>
      <c r="U101" s="667"/>
      <c r="V101" s="667"/>
      <c r="W101" s="667"/>
    </row>
    <row r="102" spans="1:27" s="4" customFormat="1" ht="15" x14ac:dyDescent="0.25">
      <c r="A102" s="5"/>
      <c r="B102" s="471"/>
      <c r="C102" s="5"/>
      <c r="D102" s="178"/>
      <c r="E102" s="112"/>
      <c r="F102" s="179"/>
      <c r="G102" s="180"/>
      <c r="H102" s="5"/>
      <c r="I102" s="5"/>
      <c r="J102" s="181"/>
      <c r="K102" s="180"/>
      <c r="L102" s="180"/>
      <c r="M102" s="180"/>
      <c r="N102" s="180"/>
      <c r="O102" s="180"/>
      <c r="P102" s="181"/>
      <c r="Q102" s="497" t="s">
        <v>139</v>
      </c>
      <c r="R102" s="666"/>
      <c r="S102" s="667"/>
      <c r="T102" s="667"/>
      <c r="U102" s="667"/>
      <c r="V102" s="667"/>
      <c r="W102" s="667"/>
    </row>
    <row r="103" spans="1:27" s="4" customFormat="1" ht="15" x14ac:dyDescent="0.25">
      <c r="A103" s="5"/>
      <c r="B103" s="769" t="s">
        <v>1086</v>
      </c>
      <c r="C103" s="783" t="s">
        <v>1078</v>
      </c>
      <c r="D103" s="784">
        <v>1</v>
      </c>
      <c r="E103" s="669" t="s">
        <v>1079</v>
      </c>
      <c r="F103" s="671"/>
      <c r="G103" s="672"/>
      <c r="H103" s="673"/>
      <c r="I103" s="673"/>
      <c r="J103" s="673"/>
      <c r="K103" s="673"/>
      <c r="L103" s="672"/>
      <c r="M103" s="672"/>
      <c r="N103" s="674"/>
      <c r="O103" s="675">
        <v>345</v>
      </c>
      <c r="P103" s="181"/>
      <c r="Q103" s="497" t="s">
        <v>141</v>
      </c>
      <c r="R103" s="666"/>
      <c r="S103" s="667"/>
      <c r="T103" s="667"/>
      <c r="U103" s="667"/>
      <c r="V103" s="667"/>
      <c r="W103" s="667"/>
    </row>
    <row r="104" spans="1:27" s="4" customFormat="1" ht="15" x14ac:dyDescent="0.25">
      <c r="A104" s="5"/>
      <c r="B104" s="769" t="s">
        <v>1086</v>
      </c>
      <c r="C104" s="783" t="s">
        <v>1081</v>
      </c>
      <c r="D104" s="784">
        <v>1</v>
      </c>
      <c r="E104" s="669" t="s">
        <v>1082</v>
      </c>
      <c r="F104" s="671"/>
      <c r="G104" s="672"/>
      <c r="H104" s="673"/>
      <c r="I104" s="673"/>
      <c r="J104" s="673"/>
      <c r="K104" s="673"/>
      <c r="L104" s="672"/>
      <c r="M104" s="672"/>
      <c r="N104" s="674"/>
      <c r="O104" s="675">
        <v>345</v>
      </c>
      <c r="P104" s="181"/>
      <c r="Q104" s="497" t="s">
        <v>142</v>
      </c>
      <c r="R104" s="666"/>
      <c r="S104" s="667"/>
      <c r="T104" s="667"/>
      <c r="U104" s="667"/>
      <c r="V104" s="667"/>
      <c r="W104" s="667"/>
    </row>
    <row r="105" spans="1:27" s="4" customFormat="1" ht="15" x14ac:dyDescent="0.25">
      <c r="A105" s="5"/>
      <c r="B105" s="769" t="s">
        <v>1086</v>
      </c>
      <c r="C105" s="783" t="s">
        <v>1084</v>
      </c>
      <c r="D105" s="784">
        <v>1</v>
      </c>
      <c r="E105" s="669" t="s">
        <v>1085</v>
      </c>
      <c r="F105" s="671"/>
      <c r="G105" s="672"/>
      <c r="H105" s="673"/>
      <c r="I105" s="673"/>
      <c r="J105" s="673"/>
      <c r="K105" s="673"/>
      <c r="L105" s="672"/>
      <c r="M105" s="672"/>
      <c r="N105" s="674"/>
      <c r="O105" s="675">
        <v>138</v>
      </c>
      <c r="P105" s="181"/>
      <c r="Q105" s="497" t="s">
        <v>143</v>
      </c>
      <c r="R105" s="666"/>
      <c r="S105" s="667"/>
      <c r="T105" s="667"/>
      <c r="U105" s="667"/>
      <c r="V105" s="667"/>
      <c r="W105" s="667"/>
    </row>
    <row r="106" spans="1:27" s="4" customFormat="1" ht="15" x14ac:dyDescent="0.25">
      <c r="A106" s="181"/>
      <c r="B106" s="181"/>
      <c r="C106" s="181"/>
      <c r="D106" s="181"/>
      <c r="E106" s="181"/>
      <c r="F106" s="181"/>
      <c r="G106" s="181"/>
      <c r="H106" s="181"/>
      <c r="I106" s="181"/>
      <c r="J106" s="181"/>
      <c r="K106" s="181"/>
      <c r="L106" s="181"/>
      <c r="M106" s="181"/>
      <c r="N106" s="181"/>
      <c r="O106" s="181"/>
      <c r="P106" s="181"/>
      <c r="Q106" s="497" t="s">
        <v>144</v>
      </c>
      <c r="R106" s="666"/>
      <c r="S106" s="667"/>
      <c r="T106" s="667"/>
      <c r="U106" s="667"/>
      <c r="V106" s="667"/>
      <c r="W106" s="667"/>
    </row>
    <row r="107" spans="1:27" s="4" customFormat="1" ht="15" x14ac:dyDescent="0.25">
      <c r="A107" s="5"/>
      <c r="B107" s="769" t="s">
        <v>1087</v>
      </c>
      <c r="C107" s="783" t="s">
        <v>1078</v>
      </c>
      <c r="D107" s="784">
        <v>1</v>
      </c>
      <c r="E107" s="669" t="s">
        <v>1079</v>
      </c>
      <c r="F107" s="671"/>
      <c r="G107" s="672"/>
      <c r="H107" s="673"/>
      <c r="I107" s="673"/>
      <c r="J107" s="673"/>
      <c r="K107" s="673"/>
      <c r="L107" s="672"/>
      <c r="M107" s="672"/>
      <c r="N107" s="674"/>
      <c r="O107" s="675">
        <v>345</v>
      </c>
      <c r="P107" s="181"/>
      <c r="Q107" s="497" t="s">
        <v>146</v>
      </c>
      <c r="R107" s="666"/>
      <c r="S107" s="667"/>
      <c r="T107" s="667"/>
      <c r="U107" s="667"/>
      <c r="V107" s="667"/>
      <c r="W107" s="667"/>
    </row>
    <row r="108" spans="1:27" s="4" customFormat="1" ht="15" x14ac:dyDescent="0.25">
      <c r="A108" s="5"/>
      <c r="B108" s="769" t="s">
        <v>1087</v>
      </c>
      <c r="C108" s="783" t="s">
        <v>1081</v>
      </c>
      <c r="D108" s="784">
        <v>1</v>
      </c>
      <c r="E108" s="669" t="s">
        <v>1082</v>
      </c>
      <c r="F108" s="671"/>
      <c r="G108" s="672"/>
      <c r="H108" s="673"/>
      <c r="I108" s="673"/>
      <c r="J108" s="673"/>
      <c r="K108" s="673"/>
      <c r="L108" s="672"/>
      <c r="M108" s="672"/>
      <c r="N108" s="674"/>
      <c r="O108" s="675">
        <v>345</v>
      </c>
      <c r="P108" s="181"/>
      <c r="Q108" s="497" t="s">
        <v>147</v>
      </c>
      <c r="R108" s="666"/>
      <c r="S108" s="667"/>
      <c r="T108" s="667"/>
      <c r="U108" s="667"/>
      <c r="V108" s="667"/>
      <c r="W108" s="667"/>
    </row>
    <row r="109" spans="1:27" s="4" customFormat="1" ht="15" x14ac:dyDescent="0.25">
      <c r="A109" s="5"/>
      <c r="B109" s="471"/>
      <c r="C109" s="5"/>
      <c r="D109" s="178"/>
      <c r="E109" s="112"/>
      <c r="F109" s="179"/>
      <c r="G109" s="180"/>
      <c r="H109" s="5"/>
      <c r="I109" s="5"/>
      <c r="J109" s="181"/>
      <c r="K109" s="180"/>
      <c r="L109" s="180"/>
      <c r="M109" s="180"/>
      <c r="N109" s="180"/>
      <c r="O109" s="180"/>
      <c r="P109" s="181"/>
      <c r="Q109" s="497" t="s">
        <v>148</v>
      </c>
      <c r="R109" s="666"/>
      <c r="S109" s="667"/>
      <c r="T109" s="667"/>
      <c r="U109" s="667"/>
      <c r="V109" s="667"/>
      <c r="W109" s="667"/>
    </row>
    <row r="110" spans="1:27" s="4" customFormat="1" ht="15" x14ac:dyDescent="0.25">
      <c r="A110" s="5"/>
      <c r="B110" s="769" t="s">
        <v>1088</v>
      </c>
      <c r="C110" s="783" t="s">
        <v>1078</v>
      </c>
      <c r="D110" s="784">
        <v>1</v>
      </c>
      <c r="E110" s="669" t="s">
        <v>1079</v>
      </c>
      <c r="F110" s="671"/>
      <c r="G110" s="672"/>
      <c r="H110" s="673"/>
      <c r="I110" s="673"/>
      <c r="J110" s="673"/>
      <c r="K110" s="673"/>
      <c r="L110" s="672"/>
      <c r="M110" s="672"/>
      <c r="N110" s="674"/>
      <c r="O110" s="675">
        <v>345</v>
      </c>
      <c r="P110" s="181"/>
      <c r="Q110" s="497"/>
      <c r="R110" s="666"/>
      <c r="S110" s="667"/>
      <c r="T110" s="667"/>
      <c r="U110" s="667"/>
      <c r="V110" s="667"/>
      <c r="W110" s="667"/>
    </row>
    <row r="111" spans="1:27" s="4" customFormat="1" ht="15" x14ac:dyDescent="0.25">
      <c r="A111" s="5"/>
      <c r="B111" s="769" t="s">
        <v>1088</v>
      </c>
      <c r="C111" s="783" t="s">
        <v>1081</v>
      </c>
      <c r="D111" s="784">
        <v>1</v>
      </c>
      <c r="E111" s="669" t="s">
        <v>1082</v>
      </c>
      <c r="F111" s="671"/>
      <c r="G111" s="672"/>
      <c r="H111" s="673"/>
      <c r="I111" s="673"/>
      <c r="J111" s="673"/>
      <c r="K111" s="673"/>
      <c r="L111" s="672"/>
      <c r="M111" s="672"/>
      <c r="N111" s="674"/>
      <c r="O111" s="675">
        <v>345</v>
      </c>
      <c r="P111" s="181"/>
      <c r="Q111" s="497"/>
      <c r="R111" s="666"/>
      <c r="S111" s="667"/>
      <c r="T111" s="667"/>
      <c r="U111" s="667"/>
      <c r="V111" s="667"/>
      <c r="W111" s="667"/>
    </row>
    <row r="112" spans="1:27" s="4" customFormat="1" ht="15" x14ac:dyDescent="0.25">
      <c r="A112" s="5"/>
      <c r="B112" s="5"/>
      <c r="C112" s="5"/>
      <c r="D112" s="5"/>
      <c r="E112" s="5"/>
      <c r="F112" s="5"/>
      <c r="G112" s="5"/>
      <c r="H112" s="5"/>
      <c r="I112" s="5"/>
      <c r="J112" s="5"/>
      <c r="K112" s="5"/>
      <c r="L112" s="5"/>
      <c r="M112" s="5"/>
      <c r="N112" s="5"/>
      <c r="O112" s="5"/>
      <c r="P112" s="181"/>
      <c r="Q112" s="497"/>
      <c r="R112" s="666"/>
      <c r="S112" s="667"/>
      <c r="T112" s="667"/>
      <c r="U112" s="667"/>
      <c r="V112" s="667"/>
      <c r="W112" s="667"/>
    </row>
    <row r="113" spans="1:27" s="4" customFormat="1" ht="15" x14ac:dyDescent="0.25">
      <c r="A113" s="5"/>
      <c r="B113" s="769" t="s">
        <v>1089</v>
      </c>
      <c r="C113" s="783" t="s">
        <v>1084</v>
      </c>
      <c r="D113" s="784">
        <v>1</v>
      </c>
      <c r="E113" s="669" t="s">
        <v>1085</v>
      </c>
      <c r="F113" s="671"/>
      <c r="G113" s="672"/>
      <c r="H113" s="673"/>
      <c r="I113" s="673"/>
      <c r="J113" s="673"/>
      <c r="K113" s="673"/>
      <c r="L113" s="672"/>
      <c r="M113" s="672"/>
      <c r="N113" s="674"/>
      <c r="O113" s="675">
        <v>138</v>
      </c>
      <c r="P113" s="181"/>
      <c r="Q113" s="497"/>
      <c r="R113" s="666"/>
      <c r="S113" s="667"/>
      <c r="T113" s="667"/>
      <c r="U113" s="667"/>
      <c r="V113" s="667"/>
      <c r="W113" s="667"/>
    </row>
    <row r="114" spans="1:27" s="4" customFormat="1" ht="15" x14ac:dyDescent="0.25">
      <c r="A114" s="5"/>
      <c r="B114" s="181"/>
      <c r="C114" s="181"/>
      <c r="D114" s="181"/>
      <c r="E114" s="181"/>
      <c r="F114" s="181"/>
      <c r="G114" s="181"/>
      <c r="H114" s="181"/>
      <c r="I114" s="181"/>
      <c r="J114" s="181"/>
      <c r="K114" s="181"/>
      <c r="L114" s="181"/>
      <c r="M114" s="181"/>
      <c r="N114" s="181"/>
      <c r="O114" s="181"/>
      <c r="P114" s="181"/>
      <c r="Q114" s="497"/>
      <c r="R114" s="666"/>
      <c r="S114" s="667"/>
      <c r="T114" s="667"/>
      <c r="U114" s="667"/>
      <c r="V114" s="667"/>
      <c r="W114" s="667"/>
    </row>
    <row r="115" spans="1:27" s="4" customFormat="1" ht="15" x14ac:dyDescent="0.25">
      <c r="A115" s="5"/>
      <c r="B115" s="769" t="s">
        <v>1303</v>
      </c>
      <c r="C115" s="783" t="s">
        <v>1078</v>
      </c>
      <c r="D115" s="784">
        <v>1</v>
      </c>
      <c r="E115" s="669" t="s">
        <v>1079</v>
      </c>
      <c r="F115" s="671"/>
      <c r="G115" s="672"/>
      <c r="H115" s="673"/>
      <c r="I115" s="673"/>
      <c r="J115" s="673"/>
      <c r="K115" s="673"/>
      <c r="L115" s="672"/>
      <c r="M115" s="672"/>
      <c r="N115" s="674"/>
      <c r="O115" s="675">
        <v>345</v>
      </c>
      <c r="P115" s="181"/>
      <c r="Q115" s="497"/>
      <c r="R115" s="666"/>
      <c r="S115" s="667"/>
      <c r="T115" s="667"/>
      <c r="U115" s="667"/>
      <c r="V115" s="667"/>
      <c r="W115" s="667"/>
    </row>
    <row r="116" spans="1:27" s="4" customFormat="1" ht="15" x14ac:dyDescent="0.25">
      <c r="A116" s="5"/>
      <c r="B116" s="769" t="s">
        <v>1303</v>
      </c>
      <c r="C116" s="783" t="s">
        <v>1081</v>
      </c>
      <c r="D116" s="784">
        <v>1</v>
      </c>
      <c r="E116" s="669" t="s">
        <v>1082</v>
      </c>
      <c r="F116" s="671"/>
      <c r="G116" s="672"/>
      <c r="H116" s="673"/>
      <c r="I116" s="673"/>
      <c r="J116" s="673"/>
      <c r="K116" s="673"/>
      <c r="L116" s="672"/>
      <c r="M116" s="672"/>
      <c r="N116" s="674"/>
      <c r="O116" s="675">
        <v>345</v>
      </c>
      <c r="P116" s="181"/>
      <c r="Q116" s="497"/>
      <c r="R116" s="666"/>
      <c r="S116" s="667"/>
      <c r="T116" s="667"/>
      <c r="U116" s="667"/>
      <c r="V116" s="667"/>
      <c r="W116" s="667"/>
    </row>
    <row r="117" spans="1:27" s="4" customFormat="1" ht="15" x14ac:dyDescent="0.25">
      <c r="A117" s="5"/>
      <c r="B117" s="195" t="s">
        <v>948</v>
      </c>
      <c r="C117" s="5"/>
      <c r="D117" s="178"/>
      <c r="E117" s="112"/>
      <c r="F117" s="179"/>
      <c r="G117" s="180"/>
      <c r="H117" s="5"/>
      <c r="I117" s="5"/>
      <c r="J117" s="181"/>
      <c r="K117" s="180"/>
      <c r="L117" s="180"/>
      <c r="M117" s="180"/>
      <c r="N117" s="180"/>
      <c r="O117" s="180"/>
      <c r="P117" s="181"/>
      <c r="Q117" s="497"/>
      <c r="R117" s="666"/>
      <c r="S117" s="667"/>
      <c r="T117" s="667"/>
      <c r="U117" s="667"/>
      <c r="V117" s="667"/>
      <c r="W117" s="667"/>
    </row>
    <row r="118" spans="1:27" s="248" customFormat="1" ht="15" x14ac:dyDescent="0.25">
      <c r="A118" s="5"/>
      <c r="B118" s="364" t="s">
        <v>1090</v>
      </c>
      <c r="C118" s="5"/>
      <c r="D118" s="178"/>
      <c r="E118" s="112"/>
      <c r="F118" s="179"/>
      <c r="G118" s="180"/>
      <c r="H118" s="5"/>
      <c r="I118" s="5"/>
      <c r="J118" s="181"/>
      <c r="K118" s="180"/>
      <c r="L118" s="180"/>
      <c r="M118" s="180"/>
      <c r="N118" s="180"/>
      <c r="O118" s="180"/>
      <c r="P118" s="181"/>
      <c r="Q118" s="497"/>
      <c r="R118" s="666"/>
      <c r="S118" s="667"/>
      <c r="T118" s="667"/>
      <c r="U118" s="667"/>
      <c r="V118" s="667"/>
      <c r="W118" s="667"/>
      <c r="X118" s="4"/>
      <c r="Y118" s="4"/>
      <c r="Z118" s="4"/>
      <c r="AA118" s="4"/>
    </row>
    <row r="119" spans="1:27" s="4" customFormat="1" ht="15" x14ac:dyDescent="0.25">
      <c r="A119" s="5"/>
      <c r="B119" s="180"/>
      <c r="C119" s="180"/>
      <c r="D119" s="180"/>
      <c r="E119" s="180"/>
      <c r="F119" s="180"/>
      <c r="G119" s="180"/>
      <c r="H119" s="180"/>
      <c r="I119" s="180"/>
      <c r="J119" s="180"/>
      <c r="K119" s="180"/>
      <c r="L119" s="180"/>
      <c r="M119" s="180"/>
      <c r="N119" s="180"/>
      <c r="O119" s="180"/>
      <c r="P119" s="181"/>
      <c r="Q119" s="497" t="s">
        <v>149</v>
      </c>
      <c r="R119" s="666"/>
      <c r="S119" s="667"/>
      <c r="T119" s="667"/>
      <c r="U119" s="667"/>
      <c r="V119" s="667"/>
      <c r="W119" s="667"/>
    </row>
    <row r="120" spans="1:27" s="4" customFormat="1" ht="15" x14ac:dyDescent="0.25">
      <c r="A120" s="5"/>
      <c r="B120" s="472" t="s">
        <v>1091</v>
      </c>
      <c r="C120" s="178"/>
      <c r="D120" s="178"/>
      <c r="E120" s="112"/>
      <c r="F120" s="179"/>
      <c r="G120" s="180"/>
      <c r="H120" s="5"/>
      <c r="I120" s="5"/>
      <c r="J120" s="181"/>
      <c r="K120" s="180"/>
      <c r="L120" s="180"/>
      <c r="M120" s="180"/>
      <c r="N120" s="180"/>
      <c r="O120" s="180"/>
      <c r="P120" s="181"/>
      <c r="Q120" s="497" t="s">
        <v>150</v>
      </c>
      <c r="R120" s="666"/>
      <c r="S120" s="667"/>
      <c r="T120" s="667"/>
      <c r="U120" s="667"/>
      <c r="V120" s="667"/>
      <c r="W120" s="667"/>
    </row>
    <row r="121" spans="1:27" s="4" customFormat="1" ht="15" x14ac:dyDescent="0.25">
      <c r="A121" s="5"/>
      <c r="B121" s="249" t="s">
        <v>131</v>
      </c>
      <c r="C121" s="251" t="s">
        <v>132</v>
      </c>
      <c r="D121" s="256" t="s">
        <v>133</v>
      </c>
      <c r="E121" s="467"/>
      <c r="F121" s="468"/>
      <c r="G121" s="469"/>
      <c r="H121" s="470"/>
      <c r="I121" s="469"/>
      <c r="J121" s="470"/>
      <c r="K121" s="469"/>
      <c r="L121" s="470"/>
      <c r="M121" s="469"/>
      <c r="N121" s="473" t="s">
        <v>134</v>
      </c>
      <c r="O121" s="180"/>
      <c r="P121" s="181"/>
      <c r="Q121" s="497" t="s">
        <v>151</v>
      </c>
      <c r="R121" s="666"/>
      <c r="S121" s="667"/>
      <c r="T121" s="667"/>
      <c r="U121" s="667"/>
      <c r="V121" s="667"/>
      <c r="W121" s="667"/>
    </row>
    <row r="122" spans="1:27" s="4" customFormat="1" ht="15" x14ac:dyDescent="0.25">
      <c r="A122" s="5"/>
      <c r="B122" s="200" t="s">
        <v>140</v>
      </c>
      <c r="C122" s="668" t="s">
        <v>1092</v>
      </c>
      <c r="D122" s="669" t="s">
        <v>1093</v>
      </c>
      <c r="E122" s="670"/>
      <c r="F122" s="671"/>
      <c r="G122" s="672"/>
      <c r="H122" s="673"/>
      <c r="I122" s="673"/>
      <c r="J122" s="673"/>
      <c r="K122" s="673"/>
      <c r="L122" s="672"/>
      <c r="M122" s="674"/>
      <c r="N122" s="675">
        <v>309</v>
      </c>
      <c r="O122" s="180"/>
      <c r="P122" s="181"/>
      <c r="Q122" s="497" t="s">
        <v>152</v>
      </c>
      <c r="R122" s="666"/>
      <c r="S122" s="667"/>
      <c r="T122" s="667"/>
      <c r="U122" s="667"/>
      <c r="V122" s="667"/>
      <c r="W122" s="667"/>
    </row>
    <row r="123" spans="1:27" s="4" customFormat="1" ht="15" x14ac:dyDescent="0.25">
      <c r="A123" s="5"/>
      <c r="B123" s="194"/>
      <c r="C123" s="5"/>
      <c r="D123" s="178"/>
      <c r="E123" s="112"/>
      <c r="F123" s="179"/>
      <c r="G123" s="180"/>
      <c r="H123" s="5"/>
      <c r="I123" s="5"/>
      <c r="J123" s="181"/>
      <c r="K123" s="180"/>
      <c r="L123" s="180"/>
      <c r="M123" s="180"/>
      <c r="N123" s="180"/>
      <c r="O123" s="180"/>
      <c r="P123" s="181"/>
      <c r="Q123" s="497" t="s">
        <v>153</v>
      </c>
      <c r="R123" s="666"/>
      <c r="S123" s="667"/>
      <c r="T123" s="667"/>
      <c r="U123" s="667"/>
      <c r="V123" s="667"/>
      <c r="W123" s="667"/>
    </row>
    <row r="124" spans="1:27" s="4" customFormat="1" ht="15" x14ac:dyDescent="0.25">
      <c r="A124" s="5"/>
      <c r="B124" s="472" t="s">
        <v>1094</v>
      </c>
      <c r="C124" s="178"/>
      <c r="D124" s="178"/>
      <c r="E124" s="112"/>
      <c r="F124" s="179"/>
      <c r="G124" s="180"/>
      <c r="H124" s="5"/>
      <c r="I124" s="5"/>
      <c r="J124" s="181"/>
      <c r="K124" s="180"/>
      <c r="L124" s="180"/>
      <c r="M124" s="180"/>
      <c r="N124" s="180"/>
      <c r="O124" s="180"/>
      <c r="P124" s="181"/>
      <c r="Q124" s="497" t="s">
        <v>154</v>
      </c>
      <c r="R124" s="666"/>
      <c r="S124" s="667"/>
      <c r="T124" s="667"/>
      <c r="U124" s="667"/>
      <c r="V124" s="667"/>
      <c r="W124" s="667"/>
    </row>
    <row r="125" spans="1:27" s="4" customFormat="1" ht="15" x14ac:dyDescent="0.25">
      <c r="A125" s="5"/>
      <c r="B125" s="249" t="s">
        <v>131</v>
      </c>
      <c r="C125" s="251" t="s">
        <v>132</v>
      </c>
      <c r="D125" s="256" t="s">
        <v>133</v>
      </c>
      <c r="E125" s="467"/>
      <c r="F125" s="468"/>
      <c r="G125" s="469"/>
      <c r="H125" s="470"/>
      <c r="I125" s="469"/>
      <c r="J125" s="470"/>
      <c r="K125" s="469"/>
      <c r="L125" s="470"/>
      <c r="M125" s="469"/>
      <c r="N125" s="473" t="s">
        <v>134</v>
      </c>
      <c r="O125" s="180"/>
      <c r="P125" s="181"/>
      <c r="Q125" s="497" t="s">
        <v>155</v>
      </c>
      <c r="R125" s="666"/>
      <c r="S125" s="667"/>
      <c r="T125" s="667"/>
      <c r="U125" s="667"/>
      <c r="V125" s="667"/>
      <c r="W125" s="667"/>
    </row>
    <row r="126" spans="1:27" s="4" customFormat="1" ht="15" x14ac:dyDescent="0.25">
      <c r="A126" s="5"/>
      <c r="B126" s="200" t="s">
        <v>140</v>
      </c>
      <c r="C126" s="668" t="s">
        <v>1095</v>
      </c>
      <c r="D126" s="669" t="s">
        <v>1096</v>
      </c>
      <c r="E126" s="670"/>
      <c r="F126" s="671"/>
      <c r="G126" s="672"/>
      <c r="H126" s="673"/>
      <c r="I126" s="673"/>
      <c r="J126" s="673"/>
      <c r="K126" s="673"/>
      <c r="L126" s="672"/>
      <c r="M126" s="674"/>
      <c r="N126" s="675">
        <v>140</v>
      </c>
      <c r="O126" s="180"/>
      <c r="P126" s="181"/>
      <c r="Q126" s="497" t="s">
        <v>139</v>
      </c>
      <c r="R126" s="666"/>
      <c r="S126" s="667"/>
      <c r="T126" s="667"/>
      <c r="U126" s="667"/>
      <c r="V126" s="667"/>
      <c r="W126" s="667"/>
    </row>
    <row r="127" spans="1:27" s="4" customFormat="1" ht="15" x14ac:dyDescent="0.25">
      <c r="A127" s="5"/>
      <c r="B127" s="194"/>
      <c r="C127" s="5"/>
      <c r="D127" s="178"/>
      <c r="E127" s="112"/>
      <c r="F127" s="179"/>
      <c r="G127" s="180"/>
      <c r="H127" s="5"/>
      <c r="I127" s="5"/>
      <c r="J127" s="181"/>
      <c r="K127" s="180"/>
      <c r="L127" s="180"/>
      <c r="M127" s="180"/>
      <c r="N127" s="180"/>
      <c r="O127" s="180"/>
      <c r="P127" s="181"/>
      <c r="Q127" s="497" t="s">
        <v>156</v>
      </c>
      <c r="R127" s="666"/>
      <c r="S127" s="667"/>
      <c r="T127" s="667"/>
      <c r="U127" s="667"/>
      <c r="V127" s="667"/>
      <c r="W127" s="667"/>
    </row>
    <row r="128" spans="1:27" s="4" customFormat="1" ht="15" x14ac:dyDescent="0.25">
      <c r="A128" s="5"/>
      <c r="B128" s="472" t="s">
        <v>145</v>
      </c>
      <c r="C128" s="178"/>
      <c r="D128" s="178"/>
      <c r="E128" s="112"/>
      <c r="F128" s="179"/>
      <c r="G128" s="180"/>
      <c r="H128" s="5"/>
      <c r="I128" s="5"/>
      <c r="J128" s="181"/>
      <c r="K128" s="180"/>
      <c r="L128" s="180"/>
      <c r="M128" s="180"/>
      <c r="N128" s="180"/>
      <c r="O128" s="180"/>
      <c r="P128" s="181"/>
      <c r="Q128" s="497" t="s">
        <v>1253</v>
      </c>
      <c r="R128" s="666"/>
      <c r="S128" s="667"/>
      <c r="T128" s="667"/>
      <c r="U128" s="667"/>
      <c r="V128" s="667"/>
      <c r="W128" s="667"/>
    </row>
    <row r="129" spans="1:30" s="4" customFormat="1" ht="15" x14ac:dyDescent="0.25">
      <c r="A129" s="5"/>
      <c r="B129" s="249" t="s">
        <v>131</v>
      </c>
      <c r="C129" s="251" t="s">
        <v>132</v>
      </c>
      <c r="D129" s="256" t="s">
        <v>133</v>
      </c>
      <c r="E129" s="467"/>
      <c r="F129" s="468"/>
      <c r="G129" s="469"/>
      <c r="H129" s="470"/>
      <c r="I129" s="469"/>
      <c r="J129" s="470"/>
      <c r="K129" s="469"/>
      <c r="L129" s="470"/>
      <c r="M129" s="469"/>
      <c r="N129" s="473" t="s">
        <v>134</v>
      </c>
      <c r="O129" s="180"/>
      <c r="P129" s="181"/>
      <c r="Q129" s="497"/>
      <c r="R129" s="666"/>
      <c r="S129" s="667"/>
      <c r="T129" s="667"/>
      <c r="U129" s="667"/>
      <c r="V129" s="667"/>
      <c r="W129" s="667"/>
    </row>
    <row r="130" spans="1:30" s="4" customFormat="1" ht="15" x14ac:dyDescent="0.25">
      <c r="A130" s="5"/>
      <c r="B130" s="200" t="s">
        <v>140</v>
      </c>
      <c r="C130" s="668" t="s">
        <v>1092</v>
      </c>
      <c r="D130" s="669" t="s">
        <v>1097</v>
      </c>
      <c r="E130" s="670"/>
      <c r="F130" s="671"/>
      <c r="G130" s="672"/>
      <c r="H130" s="673"/>
      <c r="I130" s="673"/>
      <c r="J130" s="673"/>
      <c r="K130" s="673"/>
      <c r="L130" s="672"/>
      <c r="M130" s="674"/>
      <c r="N130" s="675"/>
      <c r="O130" s="180"/>
      <c r="P130" s="181"/>
      <c r="Q130" s="497"/>
      <c r="R130" s="666"/>
      <c r="S130" s="667"/>
      <c r="T130" s="667"/>
      <c r="U130" s="667"/>
      <c r="V130" s="667"/>
      <c r="W130" s="667"/>
    </row>
    <row r="131" spans="1:30" s="4" customFormat="1" ht="15" x14ac:dyDescent="0.25">
      <c r="A131" s="5"/>
      <c r="B131" s="196" t="s">
        <v>948</v>
      </c>
      <c r="C131" s="5"/>
      <c r="D131" s="178"/>
      <c r="E131" s="112"/>
      <c r="F131" s="179"/>
      <c r="G131" s="180"/>
      <c r="H131" s="5"/>
      <c r="I131" s="5"/>
      <c r="J131" s="181"/>
      <c r="K131" s="180"/>
      <c r="L131" s="180"/>
      <c r="M131" s="180"/>
      <c r="N131" s="180"/>
      <c r="O131" s="180"/>
      <c r="P131" s="181"/>
      <c r="Q131" s="497"/>
      <c r="R131" s="666"/>
      <c r="S131" s="667"/>
      <c r="T131" s="667"/>
      <c r="U131" s="667"/>
      <c r="V131" s="667"/>
      <c r="W131" s="667"/>
    </row>
    <row r="132" spans="1:30" s="4" customFormat="1" ht="15" x14ac:dyDescent="0.25">
      <c r="A132" s="5"/>
      <c r="B132" s="364" t="s">
        <v>1090</v>
      </c>
      <c r="C132" s="5"/>
      <c r="D132" s="178"/>
      <c r="E132" s="112"/>
      <c r="F132" s="179"/>
      <c r="G132" s="180"/>
      <c r="H132" s="5"/>
      <c r="I132" s="5"/>
      <c r="J132" s="181"/>
      <c r="K132" s="180"/>
      <c r="L132" s="180"/>
      <c r="M132" s="180"/>
      <c r="N132" s="180"/>
      <c r="O132" s="180"/>
      <c r="P132" s="181"/>
      <c r="Q132" s="497"/>
      <c r="R132" s="666"/>
      <c r="S132" s="667"/>
      <c r="T132" s="667"/>
      <c r="U132" s="667"/>
      <c r="V132" s="667"/>
      <c r="W132" s="667"/>
    </row>
    <row r="133" spans="1:30" s="4" customFormat="1" ht="15" x14ac:dyDescent="0.25">
      <c r="A133" s="5"/>
      <c r="B133" s="194"/>
      <c r="C133" s="5"/>
      <c r="D133" s="178"/>
      <c r="E133" s="112"/>
      <c r="F133" s="179"/>
      <c r="G133" s="180"/>
      <c r="H133" s="5"/>
      <c r="I133" s="5"/>
      <c r="J133" s="181"/>
      <c r="K133" s="180"/>
      <c r="L133" s="180"/>
      <c r="M133" s="180"/>
      <c r="N133" s="180"/>
      <c r="O133" s="180"/>
      <c r="P133" s="181"/>
      <c r="Q133" s="676"/>
      <c r="R133" s="666"/>
      <c r="S133" s="667"/>
      <c r="T133" s="667"/>
      <c r="U133" s="667"/>
      <c r="V133" s="667"/>
      <c r="W133" s="667"/>
    </row>
    <row r="134" spans="1:30" s="4" customFormat="1" ht="15" x14ac:dyDescent="0.25">
      <c r="A134" s="5"/>
      <c r="B134" s="195"/>
      <c r="C134" s="5"/>
      <c r="D134" s="178"/>
      <c r="E134" s="112"/>
      <c r="F134" s="179"/>
      <c r="G134" s="180"/>
      <c r="H134" s="5"/>
      <c r="I134" s="5"/>
      <c r="J134" s="181"/>
      <c r="K134" s="180"/>
      <c r="L134" s="180"/>
      <c r="M134" s="180"/>
      <c r="N134" s="180"/>
      <c r="O134" s="180"/>
      <c r="P134" s="180"/>
      <c r="Q134" s="180"/>
      <c r="R134" s="180"/>
      <c r="S134" s="180"/>
      <c r="T134" s="181"/>
      <c r="U134" s="5"/>
      <c r="V134" s="5"/>
      <c r="W134" s="5"/>
    </row>
    <row r="135" spans="1:30" s="4" customFormat="1" ht="14.45" customHeight="1" x14ac:dyDescent="0.25">
      <c r="A135" s="5"/>
      <c r="B135" s="246" t="s">
        <v>1098</v>
      </c>
      <c r="C135" s="800"/>
      <c r="D135" s="801"/>
      <c r="E135" s="800"/>
      <c r="F135" s="801"/>
      <c r="G135" s="180"/>
      <c r="H135" s="5"/>
      <c r="I135" s="477"/>
      <c r="J135" s="477"/>
      <c r="K135" s="477"/>
      <c r="L135" s="477" t="s">
        <v>1099</v>
      </c>
      <c r="M135" s="477"/>
      <c r="N135" s="477"/>
      <c r="O135" s="180"/>
      <c r="P135" s="475"/>
      <c r="Q135" s="478"/>
      <c r="R135" s="478" t="s">
        <v>1100</v>
      </c>
      <c r="S135" s="478"/>
      <c r="T135" s="478"/>
      <c r="U135" s="677"/>
      <c r="V135" s="5"/>
      <c r="W135" s="5"/>
      <c r="AD135" s="3"/>
    </row>
    <row r="136" spans="1:30" s="4" customFormat="1" ht="135" x14ac:dyDescent="0.25">
      <c r="A136" s="5"/>
      <c r="B136" s="252" t="s">
        <v>159</v>
      </c>
      <c r="C136" s="423" t="s">
        <v>1101</v>
      </c>
      <c r="D136" s="423" t="s">
        <v>1104</v>
      </c>
      <c r="E136" s="423" t="s">
        <v>1102</v>
      </c>
      <c r="F136" s="423" t="s">
        <v>1103</v>
      </c>
      <c r="G136" s="423" t="s">
        <v>1105</v>
      </c>
      <c r="H136" s="5"/>
      <c r="I136" s="252" t="s">
        <v>160</v>
      </c>
      <c r="J136" s="423" t="s">
        <v>1101</v>
      </c>
      <c r="K136" s="423" t="s">
        <v>1104</v>
      </c>
      <c r="L136" s="423" t="s">
        <v>1102</v>
      </c>
      <c r="M136" s="423" t="s">
        <v>1103</v>
      </c>
      <c r="N136" s="423" t="s">
        <v>1105</v>
      </c>
      <c r="O136" s="180"/>
      <c r="P136" s="252" t="s">
        <v>161</v>
      </c>
      <c r="Q136" s="423" t="s">
        <v>1101</v>
      </c>
      <c r="R136" s="423" t="s">
        <v>1104</v>
      </c>
      <c r="S136" s="423" t="s">
        <v>1102</v>
      </c>
      <c r="T136" s="423" t="s">
        <v>1103</v>
      </c>
      <c r="U136" s="423" t="s">
        <v>1105</v>
      </c>
      <c r="V136" s="5"/>
      <c r="W136" s="5"/>
      <c r="AD136" s="3"/>
    </row>
    <row r="137" spans="1:30" s="4" customFormat="1" ht="15" x14ac:dyDescent="0.25">
      <c r="A137" s="5"/>
      <c r="B137" s="200" t="s">
        <v>1106</v>
      </c>
      <c r="C137" s="678">
        <v>0.1641025641025641</v>
      </c>
      <c r="D137" s="678">
        <v>0.17278617710583152</v>
      </c>
      <c r="E137" s="678">
        <v>0.17278617710583152</v>
      </c>
      <c r="F137" s="678">
        <v>0.17278617710583152</v>
      </c>
      <c r="G137" s="678">
        <v>0.13100000000000001</v>
      </c>
      <c r="H137" s="5"/>
      <c r="I137" s="474">
        <v>865.52939078003942</v>
      </c>
      <c r="J137" s="679">
        <f t="shared" ref="J137:J153" si="3">C137*$I137</f>
        <v>142.03559233313467</v>
      </c>
      <c r="K137" s="675">
        <f t="shared" ref="K137:K153" si="4">D137*$I137</f>
        <v>149.55151460562234</v>
      </c>
      <c r="L137" s="675">
        <f t="shared" ref="L137:L153" si="5">E137*$I137</f>
        <v>149.55151460562234</v>
      </c>
      <c r="M137" s="675">
        <f t="shared" ref="M137:M153" si="6">F137*$I137</f>
        <v>149.55151460562234</v>
      </c>
      <c r="N137" s="675">
        <f t="shared" ref="N137:N153" si="7">G137*$I137</f>
        <v>113.38435019218517</v>
      </c>
      <c r="O137" s="180"/>
      <c r="P137" s="680">
        <f t="shared" ref="P137:P153" si="8">I137*0.8</f>
        <v>692.42351262403156</v>
      </c>
      <c r="Q137" s="679">
        <f t="shared" ref="Q137:Q153" si="9">C137*$P137</f>
        <v>113.62847386650775</v>
      </c>
      <c r="R137" s="675">
        <f t="shared" ref="R137:R153" si="10">D137*$P137</f>
        <v>119.64121168449789</v>
      </c>
      <c r="S137" s="675">
        <f t="shared" ref="S137:S153" si="11">E137*$P137</f>
        <v>119.64121168449789</v>
      </c>
      <c r="T137" s="675">
        <f t="shared" ref="T137:T153" si="12">F137*$P137</f>
        <v>119.64121168449789</v>
      </c>
      <c r="U137" s="675">
        <f t="shared" ref="U137:U153" si="13">G137*$P137</f>
        <v>90.707480153748136</v>
      </c>
      <c r="V137" s="5"/>
      <c r="W137" s="5"/>
      <c r="AD137" s="3"/>
    </row>
    <row r="138" spans="1:30" s="4" customFormat="1" ht="15" x14ac:dyDescent="0.25">
      <c r="A138" s="5"/>
      <c r="B138" s="200" t="s">
        <v>1107</v>
      </c>
      <c r="C138" s="678">
        <v>8.2051282051282051E-2</v>
      </c>
      <c r="D138" s="678">
        <v>0</v>
      </c>
      <c r="E138" s="678">
        <v>0</v>
      </c>
      <c r="F138" s="678">
        <v>0</v>
      </c>
      <c r="G138" s="678">
        <v>0</v>
      </c>
      <c r="H138" s="5"/>
      <c r="I138" s="474">
        <v>2015.2644382664585</v>
      </c>
      <c r="J138" s="679">
        <f t="shared" si="3"/>
        <v>165.35503083211967</v>
      </c>
      <c r="K138" s="675">
        <f t="shared" si="4"/>
        <v>0</v>
      </c>
      <c r="L138" s="675">
        <f t="shared" si="5"/>
        <v>0</v>
      </c>
      <c r="M138" s="675">
        <f t="shared" si="6"/>
        <v>0</v>
      </c>
      <c r="N138" s="675">
        <f t="shared" si="7"/>
        <v>0</v>
      </c>
      <c r="O138" s="180"/>
      <c r="P138" s="680">
        <f t="shared" si="8"/>
        <v>1612.2115506131668</v>
      </c>
      <c r="Q138" s="679">
        <f t="shared" si="9"/>
        <v>132.28402466569574</v>
      </c>
      <c r="R138" s="675">
        <f t="shared" si="10"/>
        <v>0</v>
      </c>
      <c r="S138" s="675">
        <f t="shared" si="11"/>
        <v>0</v>
      </c>
      <c r="T138" s="675">
        <f t="shared" si="12"/>
        <v>0</v>
      </c>
      <c r="U138" s="675">
        <f t="shared" si="13"/>
        <v>0</v>
      </c>
      <c r="V138" s="5"/>
      <c r="W138" s="5"/>
      <c r="AD138" s="3"/>
    </row>
    <row r="139" spans="1:30" s="4" customFormat="1" ht="15" x14ac:dyDescent="0.25">
      <c r="A139" s="5"/>
      <c r="B139" s="200" t="s">
        <v>1108</v>
      </c>
      <c r="C139" s="678">
        <v>0.11282051282051282</v>
      </c>
      <c r="D139" s="678">
        <v>0</v>
      </c>
      <c r="E139" s="678">
        <v>0</v>
      </c>
      <c r="F139" s="678">
        <v>0</v>
      </c>
      <c r="G139" s="678">
        <v>0</v>
      </c>
      <c r="H139" s="5"/>
      <c r="I139" s="474">
        <v>817.07796391485738</v>
      </c>
      <c r="J139" s="679">
        <f t="shared" si="3"/>
        <v>92.183154903214685</v>
      </c>
      <c r="K139" s="675">
        <f t="shared" si="4"/>
        <v>0</v>
      </c>
      <c r="L139" s="675">
        <f t="shared" si="5"/>
        <v>0</v>
      </c>
      <c r="M139" s="675">
        <f t="shared" si="6"/>
        <v>0</v>
      </c>
      <c r="N139" s="675">
        <f t="shared" si="7"/>
        <v>0</v>
      </c>
      <c r="O139" s="180"/>
      <c r="P139" s="680">
        <f t="shared" si="8"/>
        <v>653.66237113188595</v>
      </c>
      <c r="Q139" s="679">
        <f t="shared" si="9"/>
        <v>73.746523922571754</v>
      </c>
      <c r="R139" s="675">
        <f t="shared" si="10"/>
        <v>0</v>
      </c>
      <c r="S139" s="675">
        <f t="shared" si="11"/>
        <v>0</v>
      </c>
      <c r="T139" s="675">
        <f t="shared" si="12"/>
        <v>0</v>
      </c>
      <c r="U139" s="675">
        <f t="shared" si="13"/>
        <v>0</v>
      </c>
      <c r="V139" s="5"/>
      <c r="W139" s="5"/>
      <c r="AD139" s="3"/>
    </row>
    <row r="140" spans="1:30" s="4" customFormat="1" ht="15" x14ac:dyDescent="0.25">
      <c r="A140" s="5"/>
      <c r="B140" s="200" t="s">
        <v>1109</v>
      </c>
      <c r="C140" s="678">
        <v>6.6666666666666666E-2</v>
      </c>
      <c r="D140" s="678">
        <v>4.1036717062634988E-2</v>
      </c>
      <c r="E140" s="678">
        <v>4.1036717062634988E-2</v>
      </c>
      <c r="F140" s="678">
        <v>4.1036717062634988E-2</v>
      </c>
      <c r="G140" s="678">
        <v>0</v>
      </c>
      <c r="H140" s="5"/>
      <c r="I140" s="474">
        <v>1422.4631069315383</v>
      </c>
      <c r="J140" s="679">
        <f t="shared" si="3"/>
        <v>94.830873795435878</v>
      </c>
      <c r="K140" s="675">
        <f t="shared" si="4"/>
        <v>58.373216051186233</v>
      </c>
      <c r="L140" s="675">
        <f t="shared" si="5"/>
        <v>58.373216051186233</v>
      </c>
      <c r="M140" s="675">
        <f t="shared" si="6"/>
        <v>58.373216051186233</v>
      </c>
      <c r="N140" s="675">
        <f t="shared" si="7"/>
        <v>0</v>
      </c>
      <c r="O140" s="180"/>
      <c r="P140" s="680">
        <f t="shared" si="8"/>
        <v>1137.9704855452308</v>
      </c>
      <c r="Q140" s="679">
        <f t="shared" si="9"/>
        <v>75.864699036348711</v>
      </c>
      <c r="R140" s="675">
        <f t="shared" si="10"/>
        <v>46.698572840948991</v>
      </c>
      <c r="S140" s="675">
        <f t="shared" si="11"/>
        <v>46.698572840948991</v>
      </c>
      <c r="T140" s="675">
        <f t="shared" si="12"/>
        <v>46.698572840948991</v>
      </c>
      <c r="U140" s="675">
        <f t="shared" si="13"/>
        <v>0</v>
      </c>
      <c r="V140" s="5"/>
      <c r="W140" s="5"/>
      <c r="AD140" s="3"/>
    </row>
    <row r="141" spans="1:30" s="4" customFormat="1" ht="15" x14ac:dyDescent="0.25">
      <c r="A141" s="5"/>
      <c r="B141" s="200" t="s">
        <v>1110</v>
      </c>
      <c r="C141" s="678">
        <v>0.13333333333333333</v>
      </c>
      <c r="D141" s="678">
        <v>6.9114470842332618E-2</v>
      </c>
      <c r="E141" s="678">
        <v>6.9114470842332618E-2</v>
      </c>
      <c r="F141" s="678">
        <v>6.9114470842332618E-2</v>
      </c>
      <c r="G141" s="678">
        <v>0</v>
      </c>
      <c r="H141" s="5"/>
      <c r="I141" s="474">
        <v>2015.2644382664585</v>
      </c>
      <c r="J141" s="679">
        <f t="shared" si="3"/>
        <v>268.70192510219448</v>
      </c>
      <c r="K141" s="675">
        <f t="shared" si="4"/>
        <v>139.28393525815696</v>
      </c>
      <c r="L141" s="675">
        <f t="shared" si="5"/>
        <v>139.28393525815696</v>
      </c>
      <c r="M141" s="675">
        <f t="shared" si="6"/>
        <v>139.28393525815696</v>
      </c>
      <c r="N141" s="675">
        <f t="shared" si="7"/>
        <v>0</v>
      </c>
      <c r="O141" s="180"/>
      <c r="P141" s="680">
        <f t="shared" si="8"/>
        <v>1612.2115506131668</v>
      </c>
      <c r="Q141" s="679">
        <f t="shared" si="9"/>
        <v>214.96154008175557</v>
      </c>
      <c r="R141" s="675">
        <f t="shared" si="10"/>
        <v>111.42714820652557</v>
      </c>
      <c r="S141" s="675">
        <f t="shared" si="11"/>
        <v>111.42714820652557</v>
      </c>
      <c r="T141" s="675">
        <f t="shared" si="12"/>
        <v>111.42714820652557</v>
      </c>
      <c r="U141" s="675">
        <f t="shared" si="13"/>
        <v>0</v>
      </c>
      <c r="V141" s="5"/>
      <c r="W141" s="5"/>
      <c r="AD141" s="3"/>
    </row>
    <row r="142" spans="1:30" s="4" customFormat="1" ht="15" x14ac:dyDescent="0.25">
      <c r="A142" s="5"/>
      <c r="B142" s="200" t="s">
        <v>1111</v>
      </c>
      <c r="C142" s="678">
        <v>5.1282051282051282E-3</v>
      </c>
      <c r="D142" s="678">
        <v>0</v>
      </c>
      <c r="E142" s="678">
        <v>0</v>
      </c>
      <c r="F142" s="678">
        <v>0</v>
      </c>
      <c r="G142" s="678">
        <v>0</v>
      </c>
      <c r="H142" s="5"/>
      <c r="I142" s="474">
        <v>1150.2050225508808</v>
      </c>
      <c r="J142" s="679">
        <f t="shared" si="3"/>
        <v>5.8984872951327221</v>
      </c>
      <c r="K142" s="675">
        <f t="shared" si="4"/>
        <v>0</v>
      </c>
      <c r="L142" s="675">
        <f t="shared" si="5"/>
        <v>0</v>
      </c>
      <c r="M142" s="675">
        <f t="shared" si="6"/>
        <v>0</v>
      </c>
      <c r="N142" s="675">
        <f t="shared" si="7"/>
        <v>0</v>
      </c>
      <c r="O142" s="180"/>
      <c r="P142" s="680">
        <f t="shared" si="8"/>
        <v>920.16401804070472</v>
      </c>
      <c r="Q142" s="679">
        <f t="shared" si="9"/>
        <v>4.7187898361061782</v>
      </c>
      <c r="R142" s="675">
        <f t="shared" si="10"/>
        <v>0</v>
      </c>
      <c r="S142" s="675">
        <f t="shared" si="11"/>
        <v>0</v>
      </c>
      <c r="T142" s="675">
        <f t="shared" si="12"/>
        <v>0</v>
      </c>
      <c r="U142" s="675">
        <f t="shared" si="13"/>
        <v>0</v>
      </c>
      <c r="V142" s="5"/>
      <c r="W142" s="5"/>
      <c r="AD142" s="3"/>
    </row>
    <row r="143" spans="1:30" s="4" customFormat="1" ht="15" x14ac:dyDescent="0.25">
      <c r="A143" s="5"/>
      <c r="B143" s="200" t="s">
        <v>1112</v>
      </c>
      <c r="C143" s="678">
        <v>4.1025641025641026E-2</v>
      </c>
      <c r="D143" s="678">
        <v>0.14902807775377969</v>
      </c>
      <c r="E143" s="678">
        <v>0.14902807775377969</v>
      </c>
      <c r="F143" s="678">
        <v>0.14902807775377969</v>
      </c>
      <c r="G143" s="678">
        <v>3.1E-2</v>
      </c>
      <c r="H143" s="5"/>
      <c r="I143" s="474">
        <v>770.09782452203569</v>
      </c>
      <c r="J143" s="679">
        <f t="shared" si="3"/>
        <v>31.59375690346813</v>
      </c>
      <c r="K143" s="675">
        <f t="shared" si="4"/>
        <v>114.76619847088652</v>
      </c>
      <c r="L143" s="675">
        <f t="shared" si="5"/>
        <v>114.76619847088652</v>
      </c>
      <c r="M143" s="675">
        <f t="shared" si="6"/>
        <v>114.76619847088652</v>
      </c>
      <c r="N143" s="675">
        <f t="shared" si="7"/>
        <v>23.873032560183105</v>
      </c>
      <c r="O143" s="180"/>
      <c r="P143" s="680">
        <f t="shared" si="8"/>
        <v>616.07825961762865</v>
      </c>
      <c r="Q143" s="679">
        <f t="shared" si="9"/>
        <v>25.27500552277451</v>
      </c>
      <c r="R143" s="675">
        <f t="shared" si="10"/>
        <v>91.812958776709223</v>
      </c>
      <c r="S143" s="675">
        <f t="shared" si="11"/>
        <v>91.812958776709223</v>
      </c>
      <c r="T143" s="675">
        <f t="shared" si="12"/>
        <v>91.812958776709223</v>
      </c>
      <c r="U143" s="675">
        <f t="shared" si="13"/>
        <v>19.098426048146489</v>
      </c>
      <c r="V143" s="5"/>
      <c r="W143" s="5"/>
      <c r="AD143" s="3"/>
    </row>
    <row r="144" spans="1:30" s="4" customFormat="1" ht="15" x14ac:dyDescent="0.25">
      <c r="A144" s="5"/>
      <c r="B144" s="200" t="s">
        <v>1113</v>
      </c>
      <c r="C144" s="678">
        <v>5.6410256410256411E-2</v>
      </c>
      <c r="D144" s="678">
        <v>0</v>
      </c>
      <c r="E144" s="678">
        <v>0</v>
      </c>
      <c r="F144" s="678">
        <v>0</v>
      </c>
      <c r="G144" s="678">
        <v>0</v>
      </c>
      <c r="H144" s="5"/>
      <c r="I144" s="474">
        <v>1365.4984140303307</v>
      </c>
      <c r="J144" s="679">
        <f t="shared" si="3"/>
        <v>77.028115663249423</v>
      </c>
      <c r="K144" s="675">
        <f t="shared" si="4"/>
        <v>0</v>
      </c>
      <c r="L144" s="675">
        <f t="shared" si="5"/>
        <v>0</v>
      </c>
      <c r="M144" s="675">
        <f t="shared" si="6"/>
        <v>0</v>
      </c>
      <c r="N144" s="675">
        <f t="shared" si="7"/>
        <v>0</v>
      </c>
      <c r="O144" s="180"/>
      <c r="P144" s="680">
        <f t="shared" si="8"/>
        <v>1092.3987312242646</v>
      </c>
      <c r="Q144" s="679">
        <f t="shared" si="9"/>
        <v>61.622492530599537</v>
      </c>
      <c r="R144" s="675">
        <f t="shared" si="10"/>
        <v>0</v>
      </c>
      <c r="S144" s="675">
        <f t="shared" si="11"/>
        <v>0</v>
      </c>
      <c r="T144" s="675">
        <f t="shared" si="12"/>
        <v>0</v>
      </c>
      <c r="U144" s="675">
        <f t="shared" si="13"/>
        <v>0</v>
      </c>
      <c r="V144" s="5"/>
      <c r="W144" s="5"/>
      <c r="AD144" s="3"/>
    </row>
    <row r="145" spans="1:30" s="4" customFormat="1" ht="15" x14ac:dyDescent="0.25">
      <c r="A145" s="5"/>
      <c r="B145" s="200" t="s">
        <v>1114</v>
      </c>
      <c r="C145" s="678">
        <v>5.1282051282051282E-3</v>
      </c>
      <c r="D145" s="678">
        <v>7.9302511090689417E-5</v>
      </c>
      <c r="E145" s="678">
        <v>7.9302511090689417E-5</v>
      </c>
      <c r="F145" s="678">
        <v>7.9302511090689417E-5</v>
      </c>
      <c r="G145" s="678">
        <v>0</v>
      </c>
      <c r="H145" s="5"/>
      <c r="I145" s="474">
        <v>1365.4984140303307</v>
      </c>
      <c r="J145" s="679">
        <f t="shared" si="3"/>
        <v>7.0025559693863109</v>
      </c>
      <c r="K145" s="675">
        <f t="shared" si="4"/>
        <v>0.10828745312295911</v>
      </c>
      <c r="L145" s="675">
        <f t="shared" si="5"/>
        <v>0.10828745312295911</v>
      </c>
      <c r="M145" s="675">
        <f t="shared" si="6"/>
        <v>0.10828745312295911</v>
      </c>
      <c r="N145" s="675">
        <f t="shared" si="7"/>
        <v>0</v>
      </c>
      <c r="O145" s="180"/>
      <c r="P145" s="680">
        <f t="shared" si="8"/>
        <v>1092.3987312242646</v>
      </c>
      <c r="Q145" s="679">
        <f t="shared" si="9"/>
        <v>5.6020447755090492</v>
      </c>
      <c r="R145" s="675">
        <f t="shared" si="10"/>
        <v>8.6629962498367283E-2</v>
      </c>
      <c r="S145" s="675">
        <f t="shared" si="11"/>
        <v>8.6629962498367283E-2</v>
      </c>
      <c r="T145" s="675">
        <f t="shared" si="12"/>
        <v>8.6629962498367283E-2</v>
      </c>
      <c r="U145" s="675">
        <f t="shared" si="13"/>
        <v>0</v>
      </c>
      <c r="V145" s="5"/>
      <c r="W145" s="5"/>
      <c r="AD145" s="3"/>
    </row>
    <row r="146" spans="1:30" s="4" customFormat="1" ht="15" x14ac:dyDescent="0.25">
      <c r="A146" s="5"/>
      <c r="B146" s="200" t="s">
        <v>1115</v>
      </c>
      <c r="C146" s="678">
        <v>3.5897435897435895E-2</v>
      </c>
      <c r="D146" s="678">
        <v>9.3297071871399306E-5</v>
      </c>
      <c r="E146" s="678">
        <v>9.3297071871399306E-5</v>
      </c>
      <c r="F146" s="678">
        <v>9.3297071871399306E-5</v>
      </c>
      <c r="G146" s="678">
        <v>0.05</v>
      </c>
      <c r="H146" s="5"/>
      <c r="I146" s="474">
        <v>1365.4984140303307</v>
      </c>
      <c r="J146" s="679">
        <f t="shared" si="3"/>
        <v>49.017891785704172</v>
      </c>
      <c r="K146" s="675">
        <f t="shared" si="4"/>
        <v>0.12739700367406953</v>
      </c>
      <c r="L146" s="675">
        <f t="shared" si="5"/>
        <v>0.12739700367406953</v>
      </c>
      <c r="M146" s="675">
        <f t="shared" si="6"/>
        <v>0.12739700367406953</v>
      </c>
      <c r="N146" s="675">
        <f t="shared" si="7"/>
        <v>68.274920701516535</v>
      </c>
      <c r="O146" s="180"/>
      <c r="P146" s="680">
        <f t="shared" si="8"/>
        <v>1092.3987312242646</v>
      </c>
      <c r="Q146" s="679">
        <f t="shared" si="9"/>
        <v>39.214313428563344</v>
      </c>
      <c r="R146" s="675">
        <f t="shared" si="10"/>
        <v>0.10191760293925563</v>
      </c>
      <c r="S146" s="675">
        <f t="shared" si="11"/>
        <v>0.10191760293925563</v>
      </c>
      <c r="T146" s="675">
        <f t="shared" si="12"/>
        <v>0.10191760293925563</v>
      </c>
      <c r="U146" s="675">
        <f t="shared" si="13"/>
        <v>54.61993656121323</v>
      </c>
      <c r="V146" s="5"/>
      <c r="W146" s="5"/>
      <c r="AD146" s="3"/>
    </row>
    <row r="147" spans="1:30" s="4" customFormat="1" ht="15" x14ac:dyDescent="0.25">
      <c r="A147" s="5"/>
      <c r="B147" s="200" t="s">
        <v>1116</v>
      </c>
      <c r="C147" s="678">
        <v>2.0512820512820513E-2</v>
      </c>
      <c r="D147" s="678">
        <v>0</v>
      </c>
      <c r="E147" s="678">
        <v>0</v>
      </c>
      <c r="F147" s="678">
        <v>0</v>
      </c>
      <c r="G147" s="678">
        <v>0</v>
      </c>
      <c r="H147" s="5"/>
      <c r="I147" s="474">
        <v>1635.22776217099</v>
      </c>
      <c r="J147" s="679">
        <f t="shared" si="3"/>
        <v>33.543133582994663</v>
      </c>
      <c r="K147" s="675">
        <f t="shared" si="4"/>
        <v>0</v>
      </c>
      <c r="L147" s="675">
        <f t="shared" si="5"/>
        <v>0</v>
      </c>
      <c r="M147" s="675">
        <f t="shared" si="6"/>
        <v>0</v>
      </c>
      <c r="N147" s="675">
        <f t="shared" si="7"/>
        <v>0</v>
      </c>
      <c r="O147" s="180"/>
      <c r="P147" s="680">
        <f t="shared" si="8"/>
        <v>1308.1822097367922</v>
      </c>
      <c r="Q147" s="679">
        <f t="shared" si="9"/>
        <v>26.834506866395738</v>
      </c>
      <c r="R147" s="675">
        <f t="shared" si="10"/>
        <v>0</v>
      </c>
      <c r="S147" s="675">
        <f t="shared" si="11"/>
        <v>0</v>
      </c>
      <c r="T147" s="675">
        <f t="shared" si="12"/>
        <v>0</v>
      </c>
      <c r="U147" s="675">
        <f t="shared" si="13"/>
        <v>0</v>
      </c>
      <c r="V147" s="5"/>
      <c r="W147" s="5"/>
      <c r="AD147" s="3"/>
    </row>
    <row r="148" spans="1:30" s="4" customFormat="1" ht="15" x14ac:dyDescent="0.25">
      <c r="A148" s="5"/>
      <c r="B148" s="200" t="s">
        <v>1117</v>
      </c>
      <c r="C148" s="678">
        <v>7.6923076923076927E-2</v>
      </c>
      <c r="D148" s="678">
        <v>0</v>
      </c>
      <c r="E148" s="678">
        <v>0</v>
      </c>
      <c r="F148" s="678">
        <v>0</v>
      </c>
      <c r="G148" s="678">
        <v>0</v>
      </c>
      <c r="H148" s="5"/>
      <c r="I148" s="474">
        <v>1843.6441225419298</v>
      </c>
      <c r="J148" s="679">
        <f t="shared" si="3"/>
        <v>141.81877865707153</v>
      </c>
      <c r="K148" s="675">
        <f t="shared" si="4"/>
        <v>0</v>
      </c>
      <c r="L148" s="675">
        <f t="shared" si="5"/>
        <v>0</v>
      </c>
      <c r="M148" s="675">
        <f t="shared" si="6"/>
        <v>0</v>
      </c>
      <c r="N148" s="675">
        <f t="shared" si="7"/>
        <v>0</v>
      </c>
      <c r="O148" s="180"/>
      <c r="P148" s="680">
        <f t="shared" si="8"/>
        <v>1474.9152980335439</v>
      </c>
      <c r="Q148" s="679">
        <f t="shared" si="9"/>
        <v>113.45502292565723</v>
      </c>
      <c r="R148" s="675">
        <f t="shared" si="10"/>
        <v>0</v>
      </c>
      <c r="S148" s="675">
        <f t="shared" si="11"/>
        <v>0</v>
      </c>
      <c r="T148" s="675">
        <f t="shared" si="12"/>
        <v>0</v>
      </c>
      <c r="U148" s="675">
        <f t="shared" si="13"/>
        <v>0</v>
      </c>
      <c r="V148" s="5"/>
      <c r="W148" s="5"/>
      <c r="AD148" s="3"/>
    </row>
    <row r="149" spans="1:30" s="4" customFormat="1" ht="15" x14ac:dyDescent="0.25">
      <c r="A149" s="5"/>
      <c r="B149" s="200" t="s">
        <v>1118</v>
      </c>
      <c r="C149" s="678">
        <v>9.2307692307692313E-2</v>
      </c>
      <c r="D149" s="678">
        <v>2.591792656587473E-2</v>
      </c>
      <c r="E149" s="678">
        <v>2.591792656587473E-2</v>
      </c>
      <c r="F149" s="678">
        <v>2.591792656587473E-2</v>
      </c>
      <c r="G149" s="678">
        <v>0.13100000000000001</v>
      </c>
      <c r="H149" s="5"/>
      <c r="I149" s="474">
        <v>1365.4984140303307</v>
      </c>
      <c r="J149" s="679">
        <f t="shared" si="3"/>
        <v>126.0460074489536</v>
      </c>
      <c r="K149" s="675">
        <f t="shared" si="4"/>
        <v>35.390887620656521</v>
      </c>
      <c r="L149" s="675">
        <f t="shared" si="5"/>
        <v>35.390887620656521</v>
      </c>
      <c r="M149" s="675">
        <f t="shared" si="6"/>
        <v>35.390887620656521</v>
      </c>
      <c r="N149" s="675">
        <f t="shared" si="7"/>
        <v>178.88029223797332</v>
      </c>
      <c r="O149" s="180"/>
      <c r="P149" s="680">
        <f t="shared" si="8"/>
        <v>1092.3987312242646</v>
      </c>
      <c r="Q149" s="679">
        <f t="shared" si="9"/>
        <v>100.83680595916289</v>
      </c>
      <c r="R149" s="675">
        <f t="shared" si="10"/>
        <v>28.312710096525215</v>
      </c>
      <c r="S149" s="675">
        <f t="shared" si="11"/>
        <v>28.312710096525215</v>
      </c>
      <c r="T149" s="675">
        <f t="shared" si="12"/>
        <v>28.312710096525215</v>
      </c>
      <c r="U149" s="675">
        <f t="shared" si="13"/>
        <v>143.10423379037866</v>
      </c>
      <c r="V149" s="5"/>
      <c r="W149" s="5"/>
      <c r="AD149" s="3"/>
    </row>
    <row r="150" spans="1:30" s="4" customFormat="1" ht="15" x14ac:dyDescent="0.25">
      <c r="A150" s="5"/>
      <c r="B150" s="200" t="s">
        <v>1119</v>
      </c>
      <c r="C150" s="678">
        <v>2.0512820512820513E-2</v>
      </c>
      <c r="D150" s="678">
        <v>0</v>
      </c>
      <c r="E150" s="678">
        <v>0</v>
      </c>
      <c r="F150" s="678">
        <v>0</v>
      </c>
      <c r="G150" s="678">
        <v>0</v>
      </c>
      <c r="H150" s="5"/>
      <c r="I150" s="474">
        <v>1532.85324065743</v>
      </c>
      <c r="J150" s="679">
        <f t="shared" si="3"/>
        <v>31.443143398101128</v>
      </c>
      <c r="K150" s="675">
        <f t="shared" si="4"/>
        <v>0</v>
      </c>
      <c r="L150" s="675">
        <f t="shared" si="5"/>
        <v>0</v>
      </c>
      <c r="M150" s="675">
        <f t="shared" si="6"/>
        <v>0</v>
      </c>
      <c r="N150" s="675">
        <f t="shared" si="7"/>
        <v>0</v>
      </c>
      <c r="O150" s="180"/>
      <c r="P150" s="680">
        <f t="shared" si="8"/>
        <v>1226.282592525944</v>
      </c>
      <c r="Q150" s="679">
        <f t="shared" si="9"/>
        <v>25.154514718480904</v>
      </c>
      <c r="R150" s="675">
        <f t="shared" si="10"/>
        <v>0</v>
      </c>
      <c r="S150" s="675">
        <f t="shared" si="11"/>
        <v>0</v>
      </c>
      <c r="T150" s="675">
        <f t="shared" si="12"/>
        <v>0</v>
      </c>
      <c r="U150" s="675">
        <f t="shared" si="13"/>
        <v>0</v>
      </c>
      <c r="V150" s="5"/>
      <c r="W150" s="5"/>
      <c r="AD150" s="3"/>
    </row>
    <row r="151" spans="1:30" s="4" customFormat="1" ht="15" x14ac:dyDescent="0.25">
      <c r="A151" s="5"/>
      <c r="B151" s="200" t="s">
        <v>1120</v>
      </c>
      <c r="C151" s="678">
        <v>4.6153846153846156E-2</v>
      </c>
      <c r="D151" s="678">
        <v>2.3758099352051837E-2</v>
      </c>
      <c r="E151" s="678">
        <v>2.3758099352051837E-2</v>
      </c>
      <c r="F151" s="678">
        <v>2.3758099352051837E-2</v>
      </c>
      <c r="G151" s="678">
        <v>0</v>
      </c>
      <c r="H151" s="5"/>
      <c r="I151" s="474">
        <v>1867.6969135123952</v>
      </c>
      <c r="J151" s="679">
        <f t="shared" si="3"/>
        <v>86.201396008264396</v>
      </c>
      <c r="K151" s="675">
        <f t="shared" si="4"/>
        <v>44.372928830748052</v>
      </c>
      <c r="L151" s="675">
        <f t="shared" si="5"/>
        <v>44.372928830748052</v>
      </c>
      <c r="M151" s="675">
        <f t="shared" si="6"/>
        <v>44.372928830748052</v>
      </c>
      <c r="N151" s="675">
        <f t="shared" si="7"/>
        <v>0</v>
      </c>
      <c r="O151" s="180"/>
      <c r="P151" s="680">
        <f t="shared" si="8"/>
        <v>1494.1575308099164</v>
      </c>
      <c r="Q151" s="679">
        <f t="shared" si="9"/>
        <v>68.961116806611528</v>
      </c>
      <c r="R151" s="675">
        <f t="shared" si="10"/>
        <v>35.498343064598444</v>
      </c>
      <c r="S151" s="675">
        <f t="shared" si="11"/>
        <v>35.498343064598444</v>
      </c>
      <c r="T151" s="675">
        <f t="shared" si="12"/>
        <v>35.498343064598444</v>
      </c>
      <c r="U151" s="675">
        <f t="shared" si="13"/>
        <v>0</v>
      </c>
      <c r="V151" s="5"/>
      <c r="W151" s="5"/>
      <c r="AD151" s="3"/>
    </row>
    <row r="152" spans="1:30" s="4" customFormat="1" ht="15" x14ac:dyDescent="0.25">
      <c r="A152" s="5"/>
      <c r="B152" s="200" t="s">
        <v>1121</v>
      </c>
      <c r="C152" s="678">
        <v>0.14358974358974358</v>
      </c>
      <c r="D152" s="678">
        <v>1.4927531499423893E-4</v>
      </c>
      <c r="E152" s="678">
        <v>1.4927531499423893E-4</v>
      </c>
      <c r="F152" s="678">
        <v>1.4927531499423893E-4</v>
      </c>
      <c r="G152" s="678">
        <v>2.7E-2</v>
      </c>
      <c r="H152" s="5"/>
      <c r="I152" s="474">
        <v>2512.2594508294164</v>
      </c>
      <c r="J152" s="679">
        <f t="shared" si="3"/>
        <v>360.73469037550592</v>
      </c>
      <c r="K152" s="675">
        <f t="shared" si="4"/>
        <v>0.37501832086981485</v>
      </c>
      <c r="L152" s="675">
        <f t="shared" si="5"/>
        <v>0.37501832086981485</v>
      </c>
      <c r="M152" s="675">
        <f t="shared" si="6"/>
        <v>0.37501832086981485</v>
      </c>
      <c r="N152" s="675">
        <f t="shared" si="7"/>
        <v>67.831005172394242</v>
      </c>
      <c r="O152" s="180"/>
      <c r="P152" s="680">
        <f t="shared" si="8"/>
        <v>2009.8075606635332</v>
      </c>
      <c r="Q152" s="679">
        <f t="shared" si="9"/>
        <v>288.58775230040476</v>
      </c>
      <c r="R152" s="675">
        <f t="shared" si="10"/>
        <v>0.30001465669585187</v>
      </c>
      <c r="S152" s="675">
        <f t="shared" si="11"/>
        <v>0.30001465669585187</v>
      </c>
      <c r="T152" s="675">
        <f t="shared" si="12"/>
        <v>0.30001465669585187</v>
      </c>
      <c r="U152" s="675">
        <f t="shared" si="13"/>
        <v>54.264804137915398</v>
      </c>
      <c r="V152" s="5"/>
      <c r="W152" s="5"/>
      <c r="AD152" s="3"/>
    </row>
    <row r="153" spans="1:30" s="4" customFormat="1" ht="15" x14ac:dyDescent="0.25">
      <c r="A153" s="5"/>
      <c r="B153" s="200" t="s">
        <v>1122</v>
      </c>
      <c r="C153" s="678">
        <v>0.40512820512820513</v>
      </c>
      <c r="D153" s="678">
        <v>0.12526997840172785</v>
      </c>
      <c r="E153" s="678">
        <v>0.12526997840172785</v>
      </c>
      <c r="F153" s="678">
        <v>0.12526997840172785</v>
      </c>
      <c r="G153" s="678">
        <v>0.13800000000000001</v>
      </c>
      <c r="H153" s="5"/>
      <c r="I153" s="474">
        <v>993.36877839688862</v>
      </c>
      <c r="J153" s="679">
        <f t="shared" si="3"/>
        <v>402.44171022232922</v>
      </c>
      <c r="K153" s="675">
        <f t="shared" si="4"/>
        <v>124.43928541472901</v>
      </c>
      <c r="L153" s="675">
        <f t="shared" si="5"/>
        <v>124.43928541472901</v>
      </c>
      <c r="M153" s="675">
        <f t="shared" si="6"/>
        <v>124.43928541472901</v>
      </c>
      <c r="N153" s="675">
        <f t="shared" si="7"/>
        <v>137.08489141877064</v>
      </c>
      <c r="O153" s="180"/>
      <c r="P153" s="680">
        <f t="shared" si="8"/>
        <v>794.69502271751094</v>
      </c>
      <c r="Q153" s="679">
        <f t="shared" si="9"/>
        <v>321.95336817786341</v>
      </c>
      <c r="R153" s="675">
        <f t="shared" si="10"/>
        <v>99.551428331783214</v>
      </c>
      <c r="S153" s="675">
        <f t="shared" si="11"/>
        <v>99.551428331783214</v>
      </c>
      <c r="T153" s="675">
        <f t="shared" si="12"/>
        <v>99.551428331783214</v>
      </c>
      <c r="U153" s="675">
        <f t="shared" si="13"/>
        <v>109.66791313501652</v>
      </c>
      <c r="V153" s="5"/>
      <c r="W153" s="5"/>
      <c r="AD153" s="3"/>
    </row>
    <row r="154" spans="1:30" ht="15" x14ac:dyDescent="0.25">
      <c r="A154" s="5"/>
      <c r="B154" s="5"/>
      <c r="C154" s="681"/>
      <c r="D154" s="681"/>
      <c r="E154" s="681"/>
      <c r="F154" s="681"/>
      <c r="G154" s="681"/>
      <c r="H154" s="5"/>
      <c r="I154" s="476"/>
      <c r="J154" s="682"/>
      <c r="K154" s="682"/>
      <c r="L154" s="682"/>
      <c r="M154" s="682"/>
      <c r="N154" s="682"/>
      <c r="O154" s="180"/>
      <c r="P154" s="5"/>
      <c r="Q154" s="682"/>
      <c r="R154" s="682"/>
      <c r="S154" s="682"/>
      <c r="T154" s="682"/>
      <c r="U154" s="682"/>
      <c r="V154" s="5"/>
      <c r="W154" s="5"/>
      <c r="X154" s="4"/>
      <c r="Y154" s="4"/>
      <c r="Z154" s="4"/>
      <c r="AA154" s="4"/>
    </row>
    <row r="155" spans="1:30" ht="15" x14ac:dyDescent="0.25">
      <c r="A155" s="5"/>
      <c r="B155" s="246" t="s">
        <v>1123</v>
      </c>
      <c r="C155" s="800"/>
      <c r="D155" s="801"/>
      <c r="E155" s="800"/>
      <c r="F155" s="801"/>
      <c r="G155" s="180"/>
      <c r="H155" s="5"/>
      <c r="I155" s="477"/>
      <c r="J155" s="477"/>
      <c r="K155" s="477"/>
      <c r="L155" s="477" t="s">
        <v>1099</v>
      </c>
      <c r="M155" s="477"/>
      <c r="N155" s="683"/>
      <c r="O155" s="180"/>
      <c r="P155" s="475"/>
      <c r="Q155" s="478"/>
      <c r="R155" s="478" t="s">
        <v>1100</v>
      </c>
      <c r="S155" s="478"/>
      <c r="T155" s="478"/>
      <c r="U155" s="682"/>
      <c r="V155" s="5"/>
      <c r="W155" s="5"/>
      <c r="X155" s="4"/>
      <c r="Y155" s="4"/>
      <c r="Z155" s="4"/>
      <c r="AA155" s="4"/>
    </row>
    <row r="156" spans="1:30" ht="135" x14ac:dyDescent="0.25">
      <c r="A156" s="5"/>
      <c r="B156" s="252" t="s">
        <v>159</v>
      </c>
      <c r="C156" s="423" t="s">
        <v>1101</v>
      </c>
      <c r="D156" s="423" t="s">
        <v>1125</v>
      </c>
      <c r="E156" s="423" t="s">
        <v>1102</v>
      </c>
      <c r="F156" s="423" t="s">
        <v>1124</v>
      </c>
      <c r="G156" s="180"/>
      <c r="H156" s="5"/>
      <c r="I156" s="252" t="s">
        <v>160</v>
      </c>
      <c r="J156" s="423" t="s">
        <v>1101</v>
      </c>
      <c r="K156" s="423" t="s">
        <v>1125</v>
      </c>
      <c r="L156" s="423" t="s">
        <v>1102</v>
      </c>
      <c r="M156" s="423" t="s">
        <v>1124</v>
      </c>
      <c r="N156" s="682"/>
      <c r="O156" s="180"/>
      <c r="P156" s="252" t="s">
        <v>161</v>
      </c>
      <c r="Q156" s="423" t="s">
        <v>1101</v>
      </c>
      <c r="R156" s="423" t="s">
        <v>1125</v>
      </c>
      <c r="S156" s="423" t="s">
        <v>1102</v>
      </c>
      <c r="T156" s="423" t="s">
        <v>1124</v>
      </c>
      <c r="U156" s="682"/>
      <c r="V156" s="5"/>
      <c r="W156" s="5"/>
      <c r="X156" s="4"/>
      <c r="Y156" s="4"/>
      <c r="Z156" s="4"/>
      <c r="AA156" s="4"/>
    </row>
    <row r="157" spans="1:30" ht="15" x14ac:dyDescent="0.25">
      <c r="A157" s="5"/>
      <c r="B157" s="200" t="s">
        <v>1106</v>
      </c>
      <c r="C157" s="678">
        <v>0.1641025641025641</v>
      </c>
      <c r="D157" s="678">
        <v>0</v>
      </c>
      <c r="E157" s="678">
        <v>0.1641025641025641</v>
      </c>
      <c r="F157" s="678">
        <v>0.11357340720221606</v>
      </c>
      <c r="G157" s="180"/>
      <c r="H157" s="5"/>
      <c r="I157" s="474">
        <v>865.52939078003942</v>
      </c>
      <c r="J157" s="679">
        <f t="shared" ref="J157:J173" si="14">C157*$I157</f>
        <v>142.03559233313467</v>
      </c>
      <c r="K157" s="675">
        <f t="shared" ref="K157:K173" si="15">D157*$I157</f>
        <v>0</v>
      </c>
      <c r="L157" s="675">
        <f t="shared" ref="L157:L173" si="16">E157*$I157</f>
        <v>142.03559233313467</v>
      </c>
      <c r="M157" s="675">
        <f t="shared" ref="M157:M173" si="17">F157*$I157</f>
        <v>98.301121944547418</v>
      </c>
      <c r="N157" s="682"/>
      <c r="O157" s="180"/>
      <c r="P157" s="680">
        <f t="shared" ref="P157:P173" si="18">I157*0.8</f>
        <v>692.42351262403156</v>
      </c>
      <c r="Q157" s="679">
        <f t="shared" ref="Q157:Q173" si="19">C157*$P157</f>
        <v>113.62847386650775</v>
      </c>
      <c r="R157" s="675">
        <f t="shared" ref="R157:R173" si="20">D157*$P157</f>
        <v>0</v>
      </c>
      <c r="S157" s="675">
        <f t="shared" ref="S157:S173" si="21">E157*$P157</f>
        <v>113.62847386650775</v>
      </c>
      <c r="T157" s="675">
        <f t="shared" ref="T157:T173" si="22">F157*$P157</f>
        <v>78.640897555637935</v>
      </c>
      <c r="U157" s="682"/>
      <c r="V157" s="5"/>
      <c r="W157" s="5"/>
      <c r="X157" s="4"/>
      <c r="Y157" s="4"/>
      <c r="Z157" s="4"/>
      <c r="AA157" s="4"/>
    </row>
    <row r="158" spans="1:30" ht="15" x14ac:dyDescent="0.25">
      <c r="A158" s="5"/>
      <c r="B158" s="200" t="s">
        <v>1107</v>
      </c>
      <c r="C158" s="678">
        <v>8.2051282051282051E-2</v>
      </c>
      <c r="D158" s="678">
        <v>0</v>
      </c>
      <c r="E158" s="678">
        <v>8.2051282051282051E-2</v>
      </c>
      <c r="F158" s="678">
        <v>0</v>
      </c>
      <c r="G158" s="180"/>
      <c r="H158" s="5"/>
      <c r="I158" s="474">
        <v>2015.2644382664585</v>
      </c>
      <c r="J158" s="679">
        <f t="shared" si="14"/>
        <v>165.35503083211967</v>
      </c>
      <c r="K158" s="675">
        <f t="shared" si="15"/>
        <v>0</v>
      </c>
      <c r="L158" s="675">
        <f t="shared" si="16"/>
        <v>165.35503083211967</v>
      </c>
      <c r="M158" s="675">
        <f t="shared" si="17"/>
        <v>0</v>
      </c>
      <c r="N158" s="682"/>
      <c r="O158" s="180"/>
      <c r="P158" s="680">
        <f t="shared" si="18"/>
        <v>1612.2115506131668</v>
      </c>
      <c r="Q158" s="679">
        <f t="shared" si="19"/>
        <v>132.28402466569574</v>
      </c>
      <c r="R158" s="675">
        <f t="shared" si="20"/>
        <v>0</v>
      </c>
      <c r="S158" s="675">
        <f t="shared" si="21"/>
        <v>132.28402466569574</v>
      </c>
      <c r="T158" s="675">
        <f t="shared" si="22"/>
        <v>0</v>
      </c>
      <c r="U158" s="682"/>
      <c r="V158" s="5"/>
      <c r="W158" s="5"/>
      <c r="X158" s="4"/>
      <c r="Y158" s="4"/>
      <c r="Z158" s="4"/>
      <c r="AA158" s="4"/>
    </row>
    <row r="159" spans="1:30" ht="15" x14ac:dyDescent="0.25">
      <c r="A159" s="5"/>
      <c r="B159" s="200" t="s">
        <v>1108</v>
      </c>
      <c r="C159" s="678">
        <v>0.11282051282051282</v>
      </c>
      <c r="D159" s="678">
        <v>0</v>
      </c>
      <c r="E159" s="678">
        <v>0.11282051282051282</v>
      </c>
      <c r="F159" s="678">
        <v>5.2631578947368418E-2</v>
      </c>
      <c r="G159" s="180"/>
      <c r="H159" s="5"/>
      <c r="I159" s="474">
        <v>817.07796391485738</v>
      </c>
      <c r="J159" s="679">
        <f t="shared" si="14"/>
        <v>92.183154903214685</v>
      </c>
      <c r="K159" s="675">
        <f t="shared" si="15"/>
        <v>0</v>
      </c>
      <c r="L159" s="675">
        <f t="shared" si="16"/>
        <v>92.183154903214685</v>
      </c>
      <c r="M159" s="675">
        <f t="shared" si="17"/>
        <v>43.004103363939862</v>
      </c>
      <c r="N159" s="682"/>
      <c r="O159" s="180"/>
      <c r="P159" s="680">
        <f t="shared" si="18"/>
        <v>653.66237113188595</v>
      </c>
      <c r="Q159" s="679">
        <f t="shared" si="19"/>
        <v>73.746523922571754</v>
      </c>
      <c r="R159" s="675">
        <f t="shared" si="20"/>
        <v>0</v>
      </c>
      <c r="S159" s="675">
        <f t="shared" si="21"/>
        <v>73.746523922571754</v>
      </c>
      <c r="T159" s="675">
        <f t="shared" si="22"/>
        <v>34.403282691151887</v>
      </c>
      <c r="U159" s="682"/>
      <c r="V159" s="5"/>
      <c r="W159" s="5"/>
      <c r="X159" s="4"/>
      <c r="Y159" s="4"/>
      <c r="Z159" s="4"/>
      <c r="AA159" s="4"/>
    </row>
    <row r="160" spans="1:30" ht="15" x14ac:dyDescent="0.25">
      <c r="A160" s="5"/>
      <c r="B160" s="200" t="s">
        <v>1109</v>
      </c>
      <c r="C160" s="678">
        <v>6.6666666666666666E-2</v>
      </c>
      <c r="D160" s="678">
        <v>0.25459317585301838</v>
      </c>
      <c r="E160" s="678">
        <v>6.6666666666666666E-2</v>
      </c>
      <c r="F160" s="678">
        <v>9.9722991689750698E-2</v>
      </c>
      <c r="G160" s="180"/>
      <c r="H160" s="5"/>
      <c r="I160" s="474">
        <v>1422.4631069315383</v>
      </c>
      <c r="J160" s="679">
        <f t="shared" si="14"/>
        <v>94.830873795435878</v>
      </c>
      <c r="K160" s="675">
        <f t="shared" si="15"/>
        <v>362.14939992745201</v>
      </c>
      <c r="L160" s="675">
        <f t="shared" si="16"/>
        <v>94.830873795435878</v>
      </c>
      <c r="M160" s="675">
        <f t="shared" si="17"/>
        <v>141.85227659151076</v>
      </c>
      <c r="N160" s="682"/>
      <c r="O160" s="180"/>
      <c r="P160" s="680">
        <f t="shared" si="18"/>
        <v>1137.9704855452308</v>
      </c>
      <c r="Q160" s="679">
        <f t="shared" si="19"/>
        <v>75.864699036348711</v>
      </c>
      <c r="R160" s="675">
        <f t="shared" si="20"/>
        <v>289.71951994196166</v>
      </c>
      <c r="S160" s="675">
        <f t="shared" si="21"/>
        <v>75.864699036348711</v>
      </c>
      <c r="T160" s="675">
        <f t="shared" si="22"/>
        <v>113.48182127320861</v>
      </c>
      <c r="U160" s="682"/>
      <c r="V160" s="5"/>
      <c r="W160" s="5"/>
      <c r="X160" s="4"/>
      <c r="Y160" s="4"/>
      <c r="Z160" s="4"/>
      <c r="AA160" s="4"/>
    </row>
    <row r="161" spans="1:27" ht="15" x14ac:dyDescent="0.25">
      <c r="A161" s="5"/>
      <c r="B161" s="200" t="s">
        <v>1110</v>
      </c>
      <c r="C161" s="678">
        <v>0.13333333333333333</v>
      </c>
      <c r="D161" s="678">
        <v>0.23884514435695539</v>
      </c>
      <c r="E161" s="678">
        <v>0.13333333333333333</v>
      </c>
      <c r="F161" s="678">
        <v>3.6011080332409975E-2</v>
      </c>
      <c r="G161" s="180"/>
      <c r="H161" s="5"/>
      <c r="I161" s="474">
        <v>2015.2644382664585</v>
      </c>
      <c r="J161" s="679">
        <f t="shared" si="14"/>
        <v>268.70192510219448</v>
      </c>
      <c r="K161" s="675">
        <f t="shared" si="15"/>
        <v>481.33612567519089</v>
      </c>
      <c r="L161" s="675">
        <f t="shared" si="16"/>
        <v>268.70192510219448</v>
      </c>
      <c r="M161" s="675">
        <f t="shared" si="17"/>
        <v>72.571849577462501</v>
      </c>
      <c r="N161" s="682"/>
      <c r="O161" s="180"/>
      <c r="P161" s="680">
        <f t="shared" si="18"/>
        <v>1612.2115506131668</v>
      </c>
      <c r="Q161" s="679">
        <f t="shared" si="19"/>
        <v>214.96154008175557</v>
      </c>
      <c r="R161" s="675">
        <f t="shared" si="20"/>
        <v>385.0689005401527</v>
      </c>
      <c r="S161" s="675">
        <f t="shared" si="21"/>
        <v>214.96154008175557</v>
      </c>
      <c r="T161" s="675">
        <f t="shared" si="22"/>
        <v>58.05747966197</v>
      </c>
      <c r="U161" s="682"/>
      <c r="V161" s="5"/>
      <c r="W161" s="5"/>
      <c r="X161" s="4"/>
      <c r="Y161" s="4"/>
      <c r="Z161" s="4"/>
      <c r="AA161" s="4"/>
    </row>
    <row r="162" spans="1:27" ht="15" x14ac:dyDescent="0.25">
      <c r="A162" s="5"/>
      <c r="B162" s="200" t="s">
        <v>1111</v>
      </c>
      <c r="C162" s="678">
        <v>5.1282051282051282E-3</v>
      </c>
      <c r="D162" s="678">
        <v>0</v>
      </c>
      <c r="E162" s="678">
        <v>5.1282051282051282E-3</v>
      </c>
      <c r="F162" s="678">
        <v>0</v>
      </c>
      <c r="G162" s="180"/>
      <c r="H162" s="5"/>
      <c r="I162" s="474">
        <v>1150.2050225508808</v>
      </c>
      <c r="J162" s="679">
        <f t="shared" si="14"/>
        <v>5.8984872951327221</v>
      </c>
      <c r="K162" s="675">
        <f t="shared" si="15"/>
        <v>0</v>
      </c>
      <c r="L162" s="675">
        <f t="shared" si="16"/>
        <v>5.8984872951327221</v>
      </c>
      <c r="M162" s="675">
        <f t="shared" si="17"/>
        <v>0</v>
      </c>
      <c r="N162" s="682"/>
      <c r="O162" s="180"/>
      <c r="P162" s="680">
        <f t="shared" si="18"/>
        <v>920.16401804070472</v>
      </c>
      <c r="Q162" s="679">
        <f t="shared" si="19"/>
        <v>4.7187898361061782</v>
      </c>
      <c r="R162" s="675">
        <f t="shared" si="20"/>
        <v>0</v>
      </c>
      <c r="S162" s="675">
        <f t="shared" si="21"/>
        <v>4.7187898361061782</v>
      </c>
      <c r="T162" s="675">
        <f t="shared" si="22"/>
        <v>0</v>
      </c>
      <c r="U162" s="682"/>
      <c r="V162" s="5"/>
      <c r="W162" s="5"/>
      <c r="X162" s="4"/>
      <c r="Y162" s="4"/>
      <c r="Z162" s="4"/>
      <c r="AA162" s="4"/>
    </row>
    <row r="163" spans="1:27" ht="15" x14ac:dyDescent="0.25">
      <c r="A163" s="5"/>
      <c r="B163" s="200" t="s">
        <v>1112</v>
      </c>
      <c r="C163" s="678">
        <v>4.1025641025641026E-2</v>
      </c>
      <c r="D163" s="678">
        <v>2.8871391076115485E-2</v>
      </c>
      <c r="E163" s="678">
        <v>4.1025641025641026E-2</v>
      </c>
      <c r="F163" s="678">
        <v>3.0470914127423823E-2</v>
      </c>
      <c r="G163" s="180"/>
      <c r="H163" s="5"/>
      <c r="I163" s="474">
        <v>770.09782452203569</v>
      </c>
      <c r="J163" s="679">
        <f t="shared" si="14"/>
        <v>31.59375690346813</v>
      </c>
      <c r="K163" s="675">
        <f t="shared" si="15"/>
        <v>22.233795458641449</v>
      </c>
      <c r="L163" s="675">
        <f t="shared" si="16"/>
        <v>31.59375690346813</v>
      </c>
      <c r="M163" s="675">
        <f t="shared" si="17"/>
        <v>23.465584680726849</v>
      </c>
      <c r="N163" s="682"/>
      <c r="O163" s="180"/>
      <c r="P163" s="680">
        <f t="shared" si="18"/>
        <v>616.07825961762865</v>
      </c>
      <c r="Q163" s="679">
        <f t="shared" si="19"/>
        <v>25.27500552277451</v>
      </c>
      <c r="R163" s="675">
        <f t="shared" si="20"/>
        <v>17.787036366913163</v>
      </c>
      <c r="S163" s="675">
        <f t="shared" si="21"/>
        <v>25.27500552277451</v>
      </c>
      <c r="T163" s="675">
        <f t="shared" si="22"/>
        <v>18.772467744581483</v>
      </c>
      <c r="U163" s="682"/>
      <c r="V163" s="5"/>
      <c r="W163" s="5"/>
      <c r="X163" s="4"/>
      <c r="Y163" s="4"/>
      <c r="Z163" s="4"/>
      <c r="AA163" s="4"/>
    </row>
    <row r="164" spans="1:27" ht="15" x14ac:dyDescent="0.25">
      <c r="A164" s="5"/>
      <c r="B164" s="200" t="s">
        <v>1113</v>
      </c>
      <c r="C164" s="678">
        <v>5.6410256410256411E-2</v>
      </c>
      <c r="D164" s="678">
        <v>8.6614173228346455E-2</v>
      </c>
      <c r="E164" s="678">
        <v>5.6410256410256411E-2</v>
      </c>
      <c r="F164" s="678">
        <v>0</v>
      </c>
      <c r="G164" s="180"/>
      <c r="H164" s="5"/>
      <c r="I164" s="474">
        <v>1365.4984140303307</v>
      </c>
      <c r="J164" s="679">
        <f t="shared" si="14"/>
        <v>77.028115663249423</v>
      </c>
      <c r="K164" s="675">
        <f t="shared" si="15"/>
        <v>118.27151617585541</v>
      </c>
      <c r="L164" s="675">
        <f t="shared" si="16"/>
        <v>77.028115663249423</v>
      </c>
      <c r="M164" s="675">
        <f t="shared" si="17"/>
        <v>0</v>
      </c>
      <c r="N164" s="682"/>
      <c r="O164" s="180"/>
      <c r="P164" s="680">
        <f t="shared" si="18"/>
        <v>1092.3987312242646</v>
      </c>
      <c r="Q164" s="679">
        <f t="shared" si="19"/>
        <v>61.622492530599537</v>
      </c>
      <c r="R164" s="675">
        <f t="shared" si="20"/>
        <v>94.617212940684325</v>
      </c>
      <c r="S164" s="675">
        <f t="shared" si="21"/>
        <v>61.622492530599537</v>
      </c>
      <c r="T164" s="675">
        <f t="shared" si="22"/>
        <v>0</v>
      </c>
      <c r="U164" s="682"/>
      <c r="V164" s="5"/>
      <c r="W164" s="5"/>
      <c r="X164" s="4"/>
      <c r="Y164" s="4"/>
      <c r="Z164" s="4"/>
      <c r="AA164" s="4"/>
    </row>
    <row r="165" spans="1:27" ht="15" x14ac:dyDescent="0.25">
      <c r="A165" s="5"/>
      <c r="B165" s="200" t="s">
        <v>1114</v>
      </c>
      <c r="C165" s="678">
        <v>5.1282051282051282E-3</v>
      </c>
      <c r="D165" s="678">
        <v>1.7682000276281254E-3</v>
      </c>
      <c r="E165" s="678">
        <v>5.1282051282051282E-3</v>
      </c>
      <c r="F165" s="678">
        <v>0</v>
      </c>
      <c r="G165" s="180"/>
      <c r="H165" s="5"/>
      <c r="I165" s="474">
        <v>1365.4984140303307</v>
      </c>
      <c r="J165" s="679">
        <f t="shared" si="14"/>
        <v>7.0025559693863109</v>
      </c>
      <c r="K165" s="675">
        <f t="shared" si="15"/>
        <v>2.4144743334145922</v>
      </c>
      <c r="L165" s="675">
        <f t="shared" si="16"/>
        <v>7.0025559693863109</v>
      </c>
      <c r="M165" s="675">
        <f t="shared" si="17"/>
        <v>0</v>
      </c>
      <c r="N165" s="682"/>
      <c r="O165" s="180"/>
      <c r="P165" s="680">
        <f t="shared" si="18"/>
        <v>1092.3987312242646</v>
      </c>
      <c r="Q165" s="679">
        <f t="shared" si="19"/>
        <v>5.6020447755090492</v>
      </c>
      <c r="R165" s="675">
        <f t="shared" si="20"/>
        <v>1.9315794667316737</v>
      </c>
      <c r="S165" s="675">
        <f t="shared" si="21"/>
        <v>5.6020447755090492</v>
      </c>
      <c r="T165" s="675">
        <f t="shared" si="22"/>
        <v>0</v>
      </c>
      <c r="U165" s="682"/>
      <c r="V165" s="5"/>
      <c r="W165" s="5"/>
      <c r="X165" s="4"/>
      <c r="Y165" s="4"/>
      <c r="Z165" s="4"/>
      <c r="AA165" s="4"/>
    </row>
    <row r="166" spans="1:27" ht="15" x14ac:dyDescent="0.25">
      <c r="A166" s="5"/>
      <c r="B166" s="200" t="s">
        <v>1115</v>
      </c>
      <c r="C166" s="678">
        <v>3.5897435897435895E-2</v>
      </c>
      <c r="D166" s="678">
        <v>1.40212736565824E-3</v>
      </c>
      <c r="E166" s="678">
        <v>3.5897435897435895E-2</v>
      </c>
      <c r="F166" s="678">
        <v>0</v>
      </c>
      <c r="G166" s="180"/>
      <c r="H166" s="5"/>
      <c r="I166" s="474">
        <v>1365.4984140303307</v>
      </c>
      <c r="J166" s="679">
        <f t="shared" si="14"/>
        <v>49.017891785704172</v>
      </c>
      <c r="K166" s="675">
        <f t="shared" si="15"/>
        <v>1.9146026940748522</v>
      </c>
      <c r="L166" s="675">
        <f t="shared" si="16"/>
        <v>49.017891785704172</v>
      </c>
      <c r="M166" s="675">
        <f t="shared" si="17"/>
        <v>0</v>
      </c>
      <c r="N166" s="682"/>
      <c r="O166" s="180"/>
      <c r="P166" s="680">
        <f t="shared" si="18"/>
        <v>1092.3987312242646</v>
      </c>
      <c r="Q166" s="679">
        <f t="shared" si="19"/>
        <v>39.214313428563344</v>
      </c>
      <c r="R166" s="675">
        <f t="shared" si="20"/>
        <v>1.5316821552598818</v>
      </c>
      <c r="S166" s="675">
        <f t="shared" si="21"/>
        <v>39.214313428563344</v>
      </c>
      <c r="T166" s="675">
        <f t="shared" si="22"/>
        <v>0</v>
      </c>
      <c r="U166" s="682"/>
      <c r="V166" s="5"/>
      <c r="W166" s="5"/>
      <c r="X166" s="4"/>
      <c r="Y166" s="4"/>
      <c r="Z166" s="4"/>
      <c r="AA166" s="4"/>
    </row>
    <row r="167" spans="1:27" ht="15" x14ac:dyDescent="0.25">
      <c r="A167" s="5"/>
      <c r="B167" s="200" t="s">
        <v>1116</v>
      </c>
      <c r="C167" s="678">
        <v>2.0512820512820513E-2</v>
      </c>
      <c r="D167" s="678">
        <v>0</v>
      </c>
      <c r="E167" s="678">
        <v>2.0512820512820513E-2</v>
      </c>
      <c r="F167" s="678">
        <v>0</v>
      </c>
      <c r="G167" s="180"/>
      <c r="H167" s="5"/>
      <c r="I167" s="474">
        <v>1635.22776217099</v>
      </c>
      <c r="J167" s="679">
        <f t="shared" si="14"/>
        <v>33.543133582994663</v>
      </c>
      <c r="K167" s="675">
        <f t="shared" si="15"/>
        <v>0</v>
      </c>
      <c r="L167" s="675">
        <f t="shared" si="16"/>
        <v>33.543133582994663</v>
      </c>
      <c r="M167" s="675">
        <f t="shared" si="17"/>
        <v>0</v>
      </c>
      <c r="N167" s="682"/>
      <c r="O167" s="180"/>
      <c r="P167" s="680">
        <f t="shared" si="18"/>
        <v>1308.1822097367922</v>
      </c>
      <c r="Q167" s="679">
        <f t="shared" si="19"/>
        <v>26.834506866395738</v>
      </c>
      <c r="R167" s="675">
        <f t="shared" si="20"/>
        <v>0</v>
      </c>
      <c r="S167" s="675">
        <f t="shared" si="21"/>
        <v>26.834506866395738</v>
      </c>
      <c r="T167" s="675">
        <f t="shared" si="22"/>
        <v>0</v>
      </c>
      <c r="U167" s="682"/>
      <c r="V167" s="5"/>
      <c r="W167" s="5"/>
      <c r="X167" s="4"/>
      <c r="Y167" s="4"/>
      <c r="Z167" s="4"/>
      <c r="AA167" s="4"/>
    </row>
    <row r="168" spans="1:27" ht="15" x14ac:dyDescent="0.25">
      <c r="A168" s="5"/>
      <c r="B168" s="200" t="s">
        <v>1117</v>
      </c>
      <c r="C168" s="678">
        <v>7.6923076923076927E-2</v>
      </c>
      <c r="D168" s="678">
        <v>5.5118110236220472E-2</v>
      </c>
      <c r="E168" s="678">
        <v>7.6923076923076927E-2</v>
      </c>
      <c r="F168" s="678">
        <v>1.662049861495845E-2</v>
      </c>
      <c r="G168" s="180"/>
      <c r="H168" s="5"/>
      <c r="I168" s="474">
        <v>1843.6441225419298</v>
      </c>
      <c r="J168" s="679">
        <f t="shared" si="14"/>
        <v>141.81877865707153</v>
      </c>
      <c r="K168" s="675">
        <f t="shared" si="15"/>
        <v>101.61817998262606</v>
      </c>
      <c r="L168" s="675">
        <f t="shared" si="16"/>
        <v>141.81877865707153</v>
      </c>
      <c r="M168" s="675">
        <f t="shared" si="17"/>
        <v>30.642284585184431</v>
      </c>
      <c r="N168" s="682"/>
      <c r="O168" s="180"/>
      <c r="P168" s="680">
        <f t="shared" si="18"/>
        <v>1474.9152980335439</v>
      </c>
      <c r="Q168" s="679">
        <f t="shared" si="19"/>
        <v>113.45502292565723</v>
      </c>
      <c r="R168" s="675">
        <f t="shared" si="20"/>
        <v>81.294543986100848</v>
      </c>
      <c r="S168" s="675">
        <f t="shared" si="21"/>
        <v>113.45502292565723</v>
      </c>
      <c r="T168" s="675">
        <f t="shared" si="22"/>
        <v>24.513827668147545</v>
      </c>
      <c r="U168" s="682"/>
      <c r="V168" s="5"/>
      <c r="W168" s="5"/>
      <c r="X168" s="4"/>
      <c r="Y168" s="4"/>
      <c r="Z168" s="4"/>
      <c r="AA168" s="4"/>
    </row>
    <row r="169" spans="1:27" ht="15" x14ac:dyDescent="0.25">
      <c r="A169" s="5"/>
      <c r="B169" s="200" t="s">
        <v>1118</v>
      </c>
      <c r="C169" s="678">
        <v>9.2307692307692313E-2</v>
      </c>
      <c r="D169" s="678">
        <v>0</v>
      </c>
      <c r="E169" s="678">
        <v>9.2307692307692313E-2</v>
      </c>
      <c r="F169" s="678">
        <v>0.26038781163434904</v>
      </c>
      <c r="G169" s="180"/>
      <c r="H169" s="5"/>
      <c r="I169" s="474">
        <v>1365.4984140303307</v>
      </c>
      <c r="J169" s="679">
        <f t="shared" si="14"/>
        <v>126.0460074489536</v>
      </c>
      <c r="K169" s="675">
        <f t="shared" si="15"/>
        <v>0</v>
      </c>
      <c r="L169" s="675">
        <f t="shared" si="16"/>
        <v>126.0460074489536</v>
      </c>
      <c r="M169" s="675">
        <f t="shared" si="17"/>
        <v>355.5591438195321</v>
      </c>
      <c r="N169" s="682"/>
      <c r="O169" s="180"/>
      <c r="P169" s="680">
        <f t="shared" si="18"/>
        <v>1092.3987312242646</v>
      </c>
      <c r="Q169" s="679">
        <f t="shared" si="19"/>
        <v>100.83680595916289</v>
      </c>
      <c r="R169" s="675">
        <f t="shared" si="20"/>
        <v>0</v>
      </c>
      <c r="S169" s="675">
        <f t="shared" si="21"/>
        <v>100.83680595916289</v>
      </c>
      <c r="T169" s="675">
        <f t="shared" si="22"/>
        <v>284.44731505562567</v>
      </c>
      <c r="U169" s="682"/>
      <c r="V169" s="5"/>
      <c r="W169" s="5"/>
      <c r="X169" s="4"/>
      <c r="Y169" s="4"/>
      <c r="Z169" s="4"/>
      <c r="AA169" s="4"/>
    </row>
    <row r="170" spans="1:27" ht="15" x14ac:dyDescent="0.25">
      <c r="A170" s="5"/>
      <c r="B170" s="200" t="s">
        <v>1119</v>
      </c>
      <c r="C170" s="678">
        <v>2.0512820512820513E-2</v>
      </c>
      <c r="D170" s="678">
        <v>0</v>
      </c>
      <c r="E170" s="678">
        <v>2.0512820512820513E-2</v>
      </c>
      <c r="F170" s="678">
        <v>0</v>
      </c>
      <c r="G170" s="180"/>
      <c r="H170" s="5"/>
      <c r="I170" s="474">
        <v>1532.85324065743</v>
      </c>
      <c r="J170" s="679">
        <f t="shared" si="14"/>
        <v>31.443143398101128</v>
      </c>
      <c r="K170" s="675">
        <f t="shared" si="15"/>
        <v>0</v>
      </c>
      <c r="L170" s="675">
        <f t="shared" si="16"/>
        <v>31.443143398101128</v>
      </c>
      <c r="M170" s="675">
        <f t="shared" si="17"/>
        <v>0</v>
      </c>
      <c r="N170" s="682"/>
      <c r="O170" s="180"/>
      <c r="P170" s="680">
        <f t="shared" si="18"/>
        <v>1226.282592525944</v>
      </c>
      <c r="Q170" s="679">
        <f t="shared" si="19"/>
        <v>25.154514718480904</v>
      </c>
      <c r="R170" s="675">
        <f t="shared" si="20"/>
        <v>0</v>
      </c>
      <c r="S170" s="675">
        <f t="shared" si="21"/>
        <v>25.154514718480904</v>
      </c>
      <c r="T170" s="675">
        <f t="shared" si="22"/>
        <v>0</v>
      </c>
      <c r="U170" s="682"/>
      <c r="V170" s="5"/>
      <c r="W170" s="5"/>
      <c r="X170" s="4"/>
      <c r="Y170" s="4"/>
      <c r="Z170" s="4"/>
      <c r="AA170" s="4"/>
    </row>
    <row r="171" spans="1:27" ht="15" x14ac:dyDescent="0.25">
      <c r="A171" s="5"/>
      <c r="B171" s="200" t="s">
        <v>1120</v>
      </c>
      <c r="C171" s="678">
        <v>4.6153846153846156E-2</v>
      </c>
      <c r="D171" s="678">
        <v>0.17847769028871391</v>
      </c>
      <c r="E171" s="678">
        <v>4.6153846153846156E-2</v>
      </c>
      <c r="F171" s="678">
        <v>2.4930747922437674E-2</v>
      </c>
      <c r="G171" s="180"/>
      <c r="H171" s="5"/>
      <c r="I171" s="474">
        <v>1867.6969135123952</v>
      </c>
      <c r="J171" s="679">
        <f t="shared" si="14"/>
        <v>86.201396008264396</v>
      </c>
      <c r="K171" s="675">
        <f t="shared" si="15"/>
        <v>333.34223128305217</v>
      </c>
      <c r="L171" s="675">
        <f t="shared" si="16"/>
        <v>86.201396008264396</v>
      </c>
      <c r="M171" s="675">
        <f t="shared" si="17"/>
        <v>46.563080946292402</v>
      </c>
      <c r="N171" s="682"/>
      <c r="O171" s="180"/>
      <c r="P171" s="680">
        <f t="shared" si="18"/>
        <v>1494.1575308099164</v>
      </c>
      <c r="Q171" s="679">
        <f t="shared" si="19"/>
        <v>68.961116806611528</v>
      </c>
      <c r="R171" s="675">
        <f t="shared" si="20"/>
        <v>266.67378502644175</v>
      </c>
      <c r="S171" s="675">
        <f t="shared" si="21"/>
        <v>68.961116806611528</v>
      </c>
      <c r="T171" s="675">
        <f t="shared" si="22"/>
        <v>37.250464757033924</v>
      </c>
      <c r="U171" s="682"/>
      <c r="V171" s="5"/>
      <c r="W171" s="5"/>
      <c r="X171" s="4"/>
      <c r="Y171" s="4"/>
      <c r="Z171" s="4"/>
      <c r="AA171" s="4"/>
    </row>
    <row r="172" spans="1:27" ht="15" x14ac:dyDescent="0.25">
      <c r="A172" s="5"/>
      <c r="B172" s="200" t="s">
        <v>1121</v>
      </c>
      <c r="C172" s="678">
        <v>0.14358974358974358</v>
      </c>
      <c r="D172" s="678">
        <v>0.12598425196850394</v>
      </c>
      <c r="E172" s="678">
        <v>0.14358974358974358</v>
      </c>
      <c r="F172" s="678">
        <v>0.1440443213296399</v>
      </c>
      <c r="G172" s="180"/>
      <c r="H172" s="5"/>
      <c r="I172" s="474">
        <v>2512.2594508294164</v>
      </c>
      <c r="J172" s="679">
        <f t="shared" si="14"/>
        <v>360.73469037550592</v>
      </c>
      <c r="K172" s="675">
        <f t="shared" si="15"/>
        <v>316.50512766354854</v>
      </c>
      <c r="L172" s="675">
        <f t="shared" si="16"/>
        <v>360.73469037550592</v>
      </c>
      <c r="M172" s="675">
        <f t="shared" si="17"/>
        <v>361.87670759869712</v>
      </c>
      <c r="N172" s="682"/>
      <c r="O172" s="180"/>
      <c r="P172" s="680">
        <f t="shared" si="18"/>
        <v>2009.8075606635332</v>
      </c>
      <c r="Q172" s="679">
        <f t="shared" si="19"/>
        <v>288.58775230040476</v>
      </c>
      <c r="R172" s="675">
        <f t="shared" si="20"/>
        <v>253.20410213083883</v>
      </c>
      <c r="S172" s="675">
        <f t="shared" si="21"/>
        <v>288.58775230040476</v>
      </c>
      <c r="T172" s="675">
        <f t="shared" si="22"/>
        <v>289.50136607895769</v>
      </c>
      <c r="U172" s="682"/>
      <c r="V172" s="5"/>
      <c r="W172" s="5"/>
      <c r="X172" s="4"/>
      <c r="Y172" s="4"/>
      <c r="Z172" s="4"/>
      <c r="AA172" s="4"/>
    </row>
    <row r="173" spans="1:27" ht="15" x14ac:dyDescent="0.25">
      <c r="A173" s="5"/>
      <c r="B173" s="200" t="s">
        <v>1122</v>
      </c>
      <c r="C173" s="678">
        <v>0.40512820512820513</v>
      </c>
      <c r="D173" s="678">
        <v>0</v>
      </c>
      <c r="E173" s="678">
        <v>0.40512820512820513</v>
      </c>
      <c r="F173" s="678">
        <v>0.21329639889196675</v>
      </c>
      <c r="G173" s="180"/>
      <c r="H173" s="5"/>
      <c r="I173" s="474">
        <v>993.36877839688862</v>
      </c>
      <c r="J173" s="679">
        <f t="shared" si="14"/>
        <v>402.44171022232922</v>
      </c>
      <c r="K173" s="675">
        <f t="shared" si="15"/>
        <v>0</v>
      </c>
      <c r="L173" s="675">
        <f t="shared" si="16"/>
        <v>402.44171022232922</v>
      </c>
      <c r="M173" s="675">
        <f t="shared" si="17"/>
        <v>211.88198320376847</v>
      </c>
      <c r="N173" s="682"/>
      <c r="O173" s="180"/>
      <c r="P173" s="680">
        <f t="shared" si="18"/>
        <v>794.69502271751094</v>
      </c>
      <c r="Q173" s="679">
        <f t="shared" si="19"/>
        <v>321.95336817786341</v>
      </c>
      <c r="R173" s="675">
        <f t="shared" si="20"/>
        <v>0</v>
      </c>
      <c r="S173" s="675">
        <f t="shared" si="21"/>
        <v>321.95336817786341</v>
      </c>
      <c r="T173" s="675">
        <f t="shared" si="22"/>
        <v>169.50558656301479</v>
      </c>
      <c r="U173" s="682"/>
      <c r="V173" s="5"/>
      <c r="W173" s="5"/>
      <c r="X173" s="4"/>
      <c r="Y173" s="4"/>
      <c r="Z173" s="4"/>
      <c r="AA173" s="4"/>
    </row>
    <row r="174" spans="1:27" ht="15" x14ac:dyDescent="0.25">
      <c r="A174" s="5"/>
      <c r="B174" s="5"/>
      <c r="C174" s="681"/>
      <c r="D174" s="681"/>
      <c r="E174" s="681"/>
      <c r="F174" s="681"/>
      <c r="G174" s="180"/>
      <c r="H174" s="5"/>
      <c r="I174" s="476"/>
      <c r="J174" s="682"/>
      <c r="K174" s="682"/>
      <c r="L174" s="682"/>
      <c r="M174" s="682"/>
      <c r="N174" s="682"/>
      <c r="O174" s="180"/>
      <c r="P174" s="5"/>
      <c r="Q174" s="682"/>
      <c r="R174" s="682"/>
      <c r="S174" s="682"/>
      <c r="T174" s="682"/>
      <c r="U174" s="682"/>
      <c r="V174" s="5"/>
      <c r="W174" s="5"/>
      <c r="X174" s="4"/>
      <c r="Y174" s="4"/>
      <c r="Z174" s="4"/>
      <c r="AA174" s="4"/>
    </row>
    <row r="175" spans="1:27" ht="15" x14ac:dyDescent="0.2">
      <c r="A175" s="5"/>
      <c r="B175" s="731" t="s">
        <v>1294</v>
      </c>
      <c r="C175" s="5"/>
      <c r="D175" s="5"/>
      <c r="E175" s="112"/>
      <c r="F175" s="5"/>
      <c r="G175" s="5"/>
      <c r="H175" s="5"/>
      <c r="I175" s="5"/>
      <c r="J175" s="5"/>
      <c r="K175" s="180"/>
      <c r="L175" s="180"/>
      <c r="M175" s="180"/>
      <c r="N175" s="5"/>
      <c r="O175" s="180"/>
      <c r="P175" s="5"/>
      <c r="Q175" s="180"/>
      <c r="R175" s="180"/>
      <c r="S175" s="180"/>
      <c r="T175" s="180"/>
      <c r="U175" s="180"/>
      <c r="V175" s="5"/>
      <c r="W175" s="193"/>
      <c r="X175" s="4"/>
      <c r="Y175" s="4"/>
      <c r="Z175" s="4"/>
      <c r="AA175" s="4"/>
    </row>
    <row r="176" spans="1:27" ht="15" x14ac:dyDescent="0.2">
      <c r="A176" s="5"/>
      <c r="B176" s="731" t="s">
        <v>1240</v>
      </c>
      <c r="C176" s="5"/>
      <c r="D176" s="5"/>
      <c r="E176" s="112"/>
      <c r="F176" s="5"/>
      <c r="G176" s="5"/>
      <c r="H176" s="5"/>
      <c r="I176" s="5"/>
      <c r="J176" s="5"/>
      <c r="K176" s="180"/>
      <c r="L176" s="180"/>
      <c r="M176" s="180"/>
      <c r="N176" s="5"/>
      <c r="O176" s="180"/>
      <c r="P176" s="5"/>
      <c r="Q176" s="180"/>
      <c r="R176" s="180"/>
      <c r="S176" s="180"/>
      <c r="T176" s="180"/>
      <c r="U176" s="180"/>
      <c r="V176" s="5"/>
      <c r="W176" s="193"/>
      <c r="X176" s="4"/>
      <c r="Y176" s="4"/>
      <c r="Z176" s="4"/>
      <c r="AA176" s="4"/>
    </row>
    <row r="177" spans="1:27" ht="15" x14ac:dyDescent="0.2">
      <c r="A177" s="5"/>
      <c r="B177" s="731" t="s">
        <v>1241</v>
      </c>
      <c r="C177" s="5"/>
      <c r="D177" s="5"/>
      <c r="E177" s="112"/>
      <c r="F177" s="5"/>
      <c r="G177" s="5"/>
      <c r="H177" s="5"/>
      <c r="I177" s="5"/>
      <c r="J177" s="5"/>
      <c r="K177" s="180"/>
      <c r="L177" s="180"/>
      <c r="M177" s="180"/>
      <c r="N177" s="5"/>
      <c r="O177" s="180"/>
      <c r="P177" s="5"/>
      <c r="Q177" s="180"/>
      <c r="R177" s="180"/>
      <c r="S177" s="180"/>
      <c r="T177" s="180"/>
      <c r="U177" s="180"/>
      <c r="V177" s="5"/>
      <c r="W177" s="193"/>
      <c r="X177" s="4"/>
      <c r="Y177" s="4"/>
      <c r="Z177" s="4"/>
      <c r="AA177" s="4"/>
    </row>
    <row r="178" spans="1:27" ht="15" x14ac:dyDescent="0.25">
      <c r="A178" s="5"/>
      <c r="B178" t="s">
        <v>1126</v>
      </c>
      <c r="C178" s="5"/>
      <c r="D178" s="5"/>
      <c r="E178" s="5"/>
      <c r="F178" s="5"/>
      <c r="G178" s="5"/>
      <c r="H178" s="5"/>
      <c r="I178" s="5"/>
      <c r="J178" s="5"/>
      <c r="K178" s="5"/>
      <c r="L178" s="5"/>
      <c r="M178" s="5"/>
      <c r="N178" s="5"/>
      <c r="O178" s="5"/>
      <c r="P178" s="5"/>
      <c r="Q178" s="5"/>
      <c r="R178" s="5"/>
      <c r="S178" s="5"/>
      <c r="T178" s="5"/>
      <c r="U178" s="5"/>
      <c r="V178" s="5"/>
      <c r="W178" s="193"/>
      <c r="X178" s="4"/>
      <c r="Y178" s="4"/>
      <c r="Z178" s="4"/>
      <c r="AA178" s="4"/>
    </row>
    <row r="179" spans="1:27" ht="15" x14ac:dyDescent="0.25">
      <c r="A179" s="5"/>
      <c r="B179" t="s">
        <v>1127</v>
      </c>
      <c r="C179" s="5"/>
      <c r="D179" s="5"/>
      <c r="E179" s="5"/>
      <c r="F179" s="5"/>
      <c r="G179" s="5"/>
      <c r="H179" s="5"/>
      <c r="I179" s="5"/>
      <c r="J179" s="5"/>
      <c r="K179" s="5"/>
      <c r="L179" s="5"/>
      <c r="M179" s="5"/>
      <c r="N179" s="5"/>
      <c r="O179" s="5"/>
      <c r="P179" s="5"/>
      <c r="Q179" s="5"/>
      <c r="R179" s="5"/>
      <c r="S179" s="5"/>
      <c r="T179" s="5"/>
      <c r="U179" s="5"/>
      <c r="V179" s="5"/>
      <c r="W179" s="193"/>
      <c r="X179" s="4"/>
      <c r="Y179" s="4"/>
      <c r="Z179" s="4"/>
      <c r="AA179" s="4"/>
    </row>
    <row r="180" spans="1:27" ht="15" x14ac:dyDescent="0.25">
      <c r="A180" s="5"/>
      <c r="B180" t="s">
        <v>162</v>
      </c>
      <c r="C180" s="345"/>
      <c r="D180" s="345"/>
      <c r="E180" s="345"/>
      <c r="F180" s="345"/>
      <c r="G180" s="345"/>
      <c r="H180" s="345"/>
      <c r="I180" s="193"/>
      <c r="J180" s="193"/>
      <c r="K180" s="193"/>
      <c r="L180" s="193"/>
      <c r="M180" s="193"/>
      <c r="N180" s="193"/>
      <c r="O180" s="193"/>
      <c r="P180" s="193"/>
      <c r="Q180" s="193"/>
      <c r="R180" s="193"/>
      <c r="S180" s="193"/>
      <c r="T180" s="193"/>
      <c r="U180" s="193"/>
      <c r="V180" s="193"/>
      <c r="W180" s="193"/>
      <c r="X180" s="4"/>
      <c r="Y180" s="4"/>
      <c r="Z180" s="4"/>
      <c r="AA180" s="4"/>
    </row>
    <row r="182" spans="1:27" x14ac:dyDescent="0.2">
      <c r="C182" s="684"/>
      <c r="D182" s="684"/>
    </row>
    <row r="183" spans="1:27" x14ac:dyDescent="0.2">
      <c r="C183" s="684"/>
      <c r="D183" s="684"/>
    </row>
    <row r="184" spans="1:27" x14ac:dyDescent="0.2">
      <c r="C184" s="684"/>
      <c r="D184" s="684"/>
    </row>
  </sheetData>
  <sheetProtection algorithmName="SHA-512" hashValue="lsaXQHHzcQxzeY4NhOK4j8lAvz7UF68r6ueD5Id4Qwv14HqYQV9KS9xgcP2lvdnEgwGeEdBy82Neyv775lRTzw==" saltValue="zc1jjw/vXm/tHWri881ZdQ==" spinCount="100000" sheet="1" objects="1" scenarios="1"/>
  <protectedRanges>
    <protectedRange sqref="O14:O16 O42:O43 O31:O32 O53 O46:O48" name="Range1_1_1"/>
    <protectedRange sqref="D135 F135 D155 F155" name="Range1_2"/>
    <protectedRange sqref="O61:O63 O80 O75:O77 O85:O87" name="Range1_1_1_1"/>
  </protectedRanges>
  <mergeCells count="4">
    <mergeCell ref="C135:D135"/>
    <mergeCell ref="E135:F135"/>
    <mergeCell ref="C155:D155"/>
    <mergeCell ref="E155:F155"/>
  </mergeCells>
  <hyperlinks>
    <hyperlink ref="B132" r:id="rId1" display="https://www.england.nhs.uk/publication/2023-25-nhs-payment-scheme/" xr:uid="{074DF6DC-CFFB-4286-B8AD-90E8539276B2}"/>
    <hyperlink ref="B93" r:id="rId2" display="https://www.england.nhs.uk/publication/2023-25-nhs-payment-scheme/" xr:uid="{D2058AB6-262E-4FCE-9091-29A348203569}"/>
    <hyperlink ref="B118" r:id="rId3" display="https://www.england.nhs.uk/publication/2023-25-nhs-payment-scheme/" xr:uid="{900D3C4C-030C-4090-9540-66275433D2D6}"/>
  </hyperlinks>
  <pageMargins left="0.70866141732283472" right="0.70866141732283472" top="0.74803149606299213" bottom="0.74803149606299213" header="0.31496062992125984" footer="0.31496062992125984"/>
  <pageSetup paperSize="9" scale="30"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8D83D-4D7E-4D1E-B763-2BF224511BE2}">
  <sheetPr>
    <tabColor theme="8" tint="0.59999389629810485"/>
  </sheetPr>
  <dimension ref="A1:N115"/>
  <sheetViews>
    <sheetView showGridLines="0" zoomScale="80" zoomScaleNormal="80" zoomScaleSheetLayoutView="80" workbookViewId="0">
      <selection activeCell="E98" sqref="E98"/>
    </sheetView>
  </sheetViews>
  <sheetFormatPr defaultColWidth="8.85546875" defaultRowHeight="15" x14ac:dyDescent="0.25"/>
  <cols>
    <col min="1" max="1" width="3.5703125" customWidth="1"/>
    <col min="2" max="2" width="85.42578125" style="1" customWidth="1"/>
    <col min="3" max="3" width="11.7109375" style="1" customWidth="1"/>
    <col min="4" max="4" width="11.5703125" customWidth="1"/>
    <col min="5" max="6" width="11.7109375" customWidth="1"/>
    <col min="7" max="7" width="12.28515625" customWidth="1"/>
    <col min="8" max="8" width="11.7109375" customWidth="1"/>
    <col min="9" max="9" width="44.42578125" customWidth="1"/>
    <col min="10" max="10" width="11.7109375" customWidth="1"/>
    <col min="11" max="11" width="1.28515625" customWidth="1"/>
  </cols>
  <sheetData>
    <row r="1" spans="2:10" ht="30" customHeight="1" x14ac:dyDescent="0.25">
      <c r="B1" s="785" t="str">
        <f>'Unit costs'!B1</f>
        <v>Selinexor with bortezomib and dexamethasone for previously treated multiple myeloma 
(TA974)</v>
      </c>
      <c r="C1" s="144"/>
      <c r="D1" s="141"/>
      <c r="E1" s="141"/>
      <c r="F1" s="141"/>
      <c r="G1" s="141"/>
      <c r="H1" s="141"/>
      <c r="I1" s="141"/>
      <c r="J1" s="141"/>
    </row>
    <row r="2" spans="2:10" ht="30" customHeight="1" x14ac:dyDescent="0.25">
      <c r="B2" s="392" t="s">
        <v>13</v>
      </c>
      <c r="C2" s="141"/>
      <c r="D2" s="127" t="s">
        <v>108</v>
      </c>
      <c r="E2" s="127" t="s">
        <v>108</v>
      </c>
      <c r="F2" s="127" t="s">
        <v>108</v>
      </c>
      <c r="G2" s="127" t="s">
        <v>108</v>
      </c>
      <c r="H2" s="127" t="s">
        <v>108</v>
      </c>
      <c r="I2" s="127" t="s">
        <v>108</v>
      </c>
      <c r="J2" s="141"/>
    </row>
    <row r="3" spans="2:10" x14ac:dyDescent="0.25">
      <c r="B3" s="130" t="s">
        <v>108</v>
      </c>
      <c r="C3" s="130"/>
      <c r="D3" s="133" t="s">
        <v>108</v>
      </c>
      <c r="E3" s="133" t="s">
        <v>108</v>
      </c>
      <c r="F3" s="133" t="s">
        <v>108</v>
      </c>
      <c r="G3" s="133" t="s">
        <v>108</v>
      </c>
      <c r="H3" s="133" t="s">
        <v>108</v>
      </c>
      <c r="I3" s="133" t="s">
        <v>108</v>
      </c>
      <c r="J3" s="141"/>
    </row>
    <row r="4" spans="2:10" x14ac:dyDescent="0.25">
      <c r="B4" s="685"/>
      <c r="C4"/>
      <c r="J4" s="141"/>
    </row>
    <row r="5" spans="2:10" x14ac:dyDescent="0.25">
      <c r="B5" s="250"/>
      <c r="C5" s="250"/>
      <c r="G5" s="133"/>
      <c r="H5" s="133"/>
      <c r="I5" s="133" t="s">
        <v>163</v>
      </c>
      <c r="J5" s="141"/>
    </row>
    <row r="6" spans="2:10" x14ac:dyDescent="0.25">
      <c r="B6" s="263" t="s">
        <v>1283</v>
      </c>
      <c r="C6" s="264"/>
      <c r="D6" s="165" t="s">
        <v>70</v>
      </c>
      <c r="E6" s="165" t="s">
        <v>71</v>
      </c>
      <c r="F6" s="165" t="s">
        <v>72</v>
      </c>
      <c r="G6" s="165" t="s">
        <v>73</v>
      </c>
      <c r="H6" s="165" t="s">
        <v>74</v>
      </c>
      <c r="J6" s="141"/>
    </row>
    <row r="7" spans="2:10" s="148" customFormat="1" x14ac:dyDescent="0.25">
      <c r="B7" s="167" t="s">
        <v>1243</v>
      </c>
      <c r="C7" s="686"/>
      <c r="D7" s="182">
        <f>'Inputs and eligible population'!G48</f>
        <v>2163.5784120686976</v>
      </c>
      <c r="E7" s="182">
        <f>'Inputs and eligible population'!H48</f>
        <v>2184.4392185509769</v>
      </c>
      <c r="F7" s="182">
        <f>'Inputs and eligible population'!I48</f>
        <v>2205.5011609129006</v>
      </c>
      <c r="G7" s="182">
        <f>'Inputs and eligible population'!J48</f>
        <v>2226.7661784678944</v>
      </c>
      <c r="H7" s="182">
        <f>'Inputs and eligible population'!K48</f>
        <v>2248.2362292278704</v>
      </c>
      <c r="I7"/>
      <c r="J7" s="141"/>
    </row>
    <row r="8" spans="2:10" x14ac:dyDescent="0.25">
      <c r="B8" s="265" t="s">
        <v>1128</v>
      </c>
      <c r="C8" s="687"/>
      <c r="D8" s="688">
        <f>'Inputs and eligible population'!F70</f>
        <v>5.5066079295154176E-2</v>
      </c>
      <c r="E8" s="688">
        <f>'Inputs and eligible population'!G70</f>
        <v>0.12</v>
      </c>
      <c r="F8" s="688">
        <f>'Inputs and eligible population'!H70</f>
        <v>0.18</v>
      </c>
      <c r="G8" s="688">
        <f>'Inputs and eligible population'!I70</f>
        <v>0.24</v>
      </c>
      <c r="H8" s="688">
        <f>'Inputs and eligible population'!J70</f>
        <v>0.24</v>
      </c>
      <c r="J8" s="141"/>
    </row>
    <row r="9" spans="2:10" ht="33" customHeight="1" x14ac:dyDescent="0.25">
      <c r="B9" s="265" t="s">
        <v>1129</v>
      </c>
      <c r="C9" s="687"/>
      <c r="D9" s="128">
        <f>'Financial impact (cash)'!E14</f>
        <v>119.13978040025866</v>
      </c>
      <c r="E9" s="128">
        <f>'Financial impact (cash)'!F14</f>
        <v>262.13270622611719</v>
      </c>
      <c r="F9" s="128">
        <f>'Financial impact (cash)'!G14</f>
        <v>396.99020896432211</v>
      </c>
      <c r="G9" s="128">
        <f>'Financial impact (cash)'!H14</f>
        <v>534.42388283229468</v>
      </c>
      <c r="H9" s="128">
        <f>'Financial impact (cash)'!I14</f>
        <v>539.57669501468888</v>
      </c>
      <c r="J9" s="133"/>
    </row>
    <row r="10" spans="2:10" ht="14.45" customHeight="1" x14ac:dyDescent="0.25">
      <c r="B10" s="247"/>
      <c r="C10" s="247"/>
      <c r="D10" s="133"/>
      <c r="E10" s="133"/>
      <c r="F10" s="133"/>
      <c r="G10" s="133"/>
      <c r="H10" s="133"/>
      <c r="J10" s="133"/>
    </row>
    <row r="11" spans="2:10" ht="14.45" customHeight="1" x14ac:dyDescent="0.25">
      <c r="B11" s="263" t="s">
        <v>1284</v>
      </c>
      <c r="C11" s="264"/>
      <c r="D11" s="165" t="s">
        <v>70</v>
      </c>
      <c r="E11" s="165" t="s">
        <v>71</v>
      </c>
      <c r="F11" s="165" t="s">
        <v>72</v>
      </c>
      <c r="G11" s="165" t="s">
        <v>73</v>
      </c>
      <c r="H11" s="165" t="s">
        <v>74</v>
      </c>
      <c r="J11" s="133"/>
    </row>
    <row r="12" spans="2:10" ht="14.45" customHeight="1" x14ac:dyDescent="0.25">
      <c r="B12" s="167" t="s">
        <v>1244</v>
      </c>
      <c r="C12" s="686"/>
      <c r="D12" s="182">
        <f>'Inputs and eligible population'!G49</f>
        <v>1901.1363506847645</v>
      </c>
      <c r="E12" s="182">
        <f>'Inputs and eligible population'!H49</f>
        <v>1919.4667413407433</v>
      </c>
      <c r="F12" s="182">
        <f>'Inputs and eligible population'!I49</f>
        <v>1937.9738700941659</v>
      </c>
      <c r="G12" s="182">
        <f>'Inputs and eligible population'!J49</f>
        <v>1956.6594410197388</v>
      </c>
      <c r="H12" s="182">
        <f>'Inputs and eligible population'!K49</f>
        <v>1975.5251746225297</v>
      </c>
      <c r="J12" s="133"/>
    </row>
    <row r="13" spans="2:10" ht="14.45" customHeight="1" x14ac:dyDescent="0.25">
      <c r="B13" s="265" t="s">
        <v>1128</v>
      </c>
      <c r="C13" s="687"/>
      <c r="D13" s="688">
        <f>'Inputs and eligible population'!F79</f>
        <v>0.16</v>
      </c>
      <c r="E13" s="688">
        <f>'Inputs and eligible population'!G79</f>
        <v>0.33</v>
      </c>
      <c r="F13" s="688">
        <f>'Inputs and eligible population'!H79</f>
        <v>0.33</v>
      </c>
      <c r="G13" s="688">
        <f>'Inputs and eligible population'!I79</f>
        <v>0.33</v>
      </c>
      <c r="H13" s="688">
        <f>'Inputs and eligible population'!J79</f>
        <v>0.33</v>
      </c>
      <c r="J13" s="133"/>
    </row>
    <row r="14" spans="2:10" ht="14.45" customHeight="1" x14ac:dyDescent="0.25">
      <c r="B14" s="265" t="s">
        <v>1129</v>
      </c>
      <c r="C14" s="687"/>
      <c r="D14" s="128">
        <f>'Financial impact (cash)'!E39</f>
        <v>304.18181610956231</v>
      </c>
      <c r="E14" s="128">
        <f>'Financial impact (cash)'!F39</f>
        <v>633.42402464244526</v>
      </c>
      <c r="F14" s="128">
        <f>'Financial impact (cash)'!G39</f>
        <v>639.53137713107481</v>
      </c>
      <c r="G14" s="128">
        <f>'Financial impact (cash)'!H39</f>
        <v>645.69761553651381</v>
      </c>
      <c r="H14" s="128">
        <f>'Financial impact (cash)'!I39</f>
        <v>651.92330762543486</v>
      </c>
      <c r="J14" s="133"/>
    </row>
    <row r="15" spans="2:10" ht="14.45" customHeight="1" x14ac:dyDescent="0.25">
      <c r="B15" s="133"/>
      <c r="C15" s="133"/>
      <c r="D15" s="689"/>
      <c r="E15" s="689"/>
      <c r="F15" s="689"/>
      <c r="G15" s="689"/>
      <c r="H15" s="689"/>
      <c r="I15" s="133"/>
      <c r="J15" s="133"/>
    </row>
    <row r="16" spans="2:10" ht="30" x14ac:dyDescent="0.25">
      <c r="B16" s="270" t="s">
        <v>1130</v>
      </c>
      <c r="C16" s="241" t="s">
        <v>164</v>
      </c>
      <c r="D16" s="165" t="s">
        <v>70</v>
      </c>
      <c r="E16" s="165" t="s">
        <v>71</v>
      </c>
      <c r="F16" s="165" t="s">
        <v>72</v>
      </c>
      <c r="G16" s="165" t="s">
        <v>73</v>
      </c>
      <c r="H16" s="165" t="s">
        <v>74</v>
      </c>
      <c r="J16" s="133"/>
    </row>
    <row r="17" spans="2:10" ht="30" x14ac:dyDescent="0.25">
      <c r="B17" s="787" t="str">
        <f>'Inputs and eligible population'!C70</f>
        <v>People receiving selinexor with bortezomib and dexamethasone (option when refractory to daratumumab and lenalidomide)</v>
      </c>
      <c r="C17" s="128">
        <f>'Inputs and eligible population'!F$48*'Inputs and eligible population'!E70</f>
        <v>0</v>
      </c>
      <c r="D17" s="128">
        <f>'Inputs and eligible population'!G$48*'Inputs and eligible population'!F70</f>
        <v>119.13978040025866</v>
      </c>
      <c r="E17" s="128">
        <f>'Inputs and eligible population'!H$48*'Inputs and eligible population'!G70</f>
        <v>262.13270622611719</v>
      </c>
      <c r="F17" s="128">
        <f>'Inputs and eligible population'!I$48*'Inputs and eligible population'!H70</f>
        <v>396.99020896432211</v>
      </c>
      <c r="G17" s="128">
        <f>'Inputs and eligible population'!J$48*'Inputs and eligible population'!I70</f>
        <v>534.42388283229468</v>
      </c>
      <c r="H17" s="128">
        <f>'Inputs and eligible population'!K$48*'Inputs and eligible population'!J70</f>
        <v>539.57669501468888</v>
      </c>
      <c r="J17" s="133"/>
    </row>
    <row r="18" spans="2:10" ht="30" x14ac:dyDescent="0.25">
      <c r="B18" s="787" t="str">
        <f>'Inputs and eligible population'!C71</f>
        <v>People receiving carfilzomib and dexamethasone (option when refractory to daratumumab and lenalidomide)</v>
      </c>
      <c r="C18" s="128">
        <f>'Inputs and eligible population'!F$48*'Inputs and eligible population'!E71</f>
        <v>85.716672826902325</v>
      </c>
      <c r="D18" s="128">
        <f>'Inputs and eligible population'!G$48*'Inputs and eligible population'!F71</f>
        <v>119.13978040025866</v>
      </c>
      <c r="E18" s="128">
        <f>'Inputs and eligible population'!H$48*'Inputs and eligible population'!G71</f>
        <v>262.13270622611719</v>
      </c>
      <c r="F18" s="128">
        <f>'Inputs and eligible population'!I$48*'Inputs and eligible population'!H71</f>
        <v>396.99020896432211</v>
      </c>
      <c r="G18" s="128">
        <f>'Inputs and eligible population'!J$48*'Inputs and eligible population'!I71</f>
        <v>534.42388283229468</v>
      </c>
      <c r="H18" s="128">
        <f>'Inputs and eligible population'!K$48*'Inputs and eligible population'!J71</f>
        <v>539.57669501468888</v>
      </c>
      <c r="J18" s="133"/>
    </row>
    <row r="19" spans="2:10" x14ac:dyDescent="0.25">
      <c r="B19" s="358" t="str">
        <f>'Inputs and eligible population'!D72</f>
        <v>People receiving lenalidomide plus dexamethasone</v>
      </c>
      <c r="C19" s="128">
        <f>'Inputs and eligible population'!F$48*'Inputs and eligible population'!E72</f>
        <v>417.86878003114884</v>
      </c>
      <c r="D19" s="128">
        <f>'Inputs and eligible population'!G$48*'Inputs and eligible population'!F72</f>
        <v>389.44411417236557</v>
      </c>
      <c r="E19" s="128">
        <f>'Inputs and eligible population'!H$48*'Inputs and eligible population'!G72</f>
        <v>349.5102749681563</v>
      </c>
      <c r="F19" s="128">
        <f>'Inputs and eligible population'!I$48*'Inputs and eligible population'!H72</f>
        <v>308.77016252780612</v>
      </c>
      <c r="G19" s="128">
        <f>'Inputs and eligible population'!J$48*'Inputs and eligible population'!I72</f>
        <v>267.21194141614734</v>
      </c>
      <c r="H19" s="128">
        <f>'Inputs and eligible population'!K$48*'Inputs and eligible population'!J72</f>
        <v>269.78834750734444</v>
      </c>
      <c r="J19" s="133"/>
    </row>
    <row r="20" spans="2:10" x14ac:dyDescent="0.25">
      <c r="B20" s="358" t="str">
        <f>'Inputs and eligible population'!D73</f>
        <v>People receiving carfilzomib with dexamethasone and lenalidomide</v>
      </c>
      <c r="C20" s="128">
        <f>'Inputs and eligible population'!F$48*'Inputs and eligible population'!E73</f>
        <v>407.15419592778602</v>
      </c>
      <c r="D20" s="128">
        <f>'Inputs and eligible population'!G$48*'Inputs and eligible population'!F73</f>
        <v>389.44411417236557</v>
      </c>
      <c r="E20" s="128">
        <f>'Inputs and eligible population'!H$48*'Inputs and eligible population'!G73</f>
        <v>349.5102749681563</v>
      </c>
      <c r="F20" s="128">
        <f>'Inputs and eligible population'!I$48*'Inputs and eligible population'!H73</f>
        <v>308.77016252780612</v>
      </c>
      <c r="G20" s="128">
        <f>'Inputs and eligible population'!J$48*'Inputs and eligible population'!I73</f>
        <v>267.21194141614734</v>
      </c>
      <c r="H20" s="128">
        <f>'Inputs and eligible population'!K$48*'Inputs and eligible population'!J73</f>
        <v>269.78834750734444</v>
      </c>
      <c r="J20" s="133"/>
    </row>
    <row r="21" spans="2:10" x14ac:dyDescent="0.25">
      <c r="B21" s="358" t="str">
        <f>'Inputs and eligible population'!D74</f>
        <v>People receiving daratumumab with bortezomib and dexamethasone</v>
      </c>
      <c r="C21" s="128">
        <f>'Inputs and eligible population'!F$48*'Inputs and eligible population'!E74</f>
        <v>1232.1771718867208</v>
      </c>
      <c r="D21" s="128">
        <f>'Inputs and eligible population'!G$48*'Inputs and eligible population'!F74</f>
        <v>1146.6965583964097</v>
      </c>
      <c r="E21" s="128">
        <f>'Inputs and eligible population'!H$48*'Inputs and eligible population'!G74</f>
        <v>961.15325616242978</v>
      </c>
      <c r="F21" s="128">
        <f>'Inputs and eligible population'!I$48*'Inputs and eligible population'!H74</f>
        <v>793.98041792864421</v>
      </c>
      <c r="G21" s="128">
        <f>'Inputs and eligible population'!J$48*'Inputs and eligible population'!I74</f>
        <v>623.49452997101048</v>
      </c>
      <c r="H21" s="128">
        <f>'Inputs and eligible population'!K$48*'Inputs and eligible population'!J74</f>
        <v>629.50614418380371</v>
      </c>
      <c r="J21" s="133"/>
    </row>
    <row r="22" spans="2:10" x14ac:dyDescent="0.25">
      <c r="B22" s="271"/>
      <c r="C22" s="182">
        <f t="shared" ref="C22:H22" si="0">SUM(C17:C21)</f>
        <v>2142.9168206725581</v>
      </c>
      <c r="D22" s="182">
        <f t="shared" si="0"/>
        <v>2163.8643475416584</v>
      </c>
      <c r="E22" s="182">
        <f t="shared" si="0"/>
        <v>2184.4392185509769</v>
      </c>
      <c r="F22" s="182">
        <f t="shared" si="0"/>
        <v>2205.5011609129006</v>
      </c>
      <c r="G22" s="182">
        <f t="shared" si="0"/>
        <v>2226.7661784678944</v>
      </c>
      <c r="H22" s="182">
        <f t="shared" si="0"/>
        <v>2248.2362292278704</v>
      </c>
      <c r="J22" s="133"/>
    </row>
    <row r="23" spans="2:10" x14ac:dyDescent="0.25">
      <c r="B23" s="247"/>
      <c r="C23" s="370"/>
      <c r="D23" s="370"/>
      <c r="E23" s="370"/>
      <c r="F23" s="370"/>
      <c r="G23" s="370"/>
      <c r="H23" s="370"/>
      <c r="J23" s="133"/>
    </row>
    <row r="24" spans="2:10" ht="30" x14ac:dyDescent="0.25">
      <c r="B24" s="270" t="s">
        <v>1131</v>
      </c>
      <c r="C24" s="241" t="s">
        <v>164</v>
      </c>
      <c r="D24" s="165" t="s">
        <v>70</v>
      </c>
      <c r="E24" s="165" t="s">
        <v>71</v>
      </c>
      <c r="F24" s="165" t="s">
        <v>72</v>
      </c>
      <c r="G24" s="165" t="s">
        <v>73</v>
      </c>
      <c r="H24" s="165" t="s">
        <v>74</v>
      </c>
      <c r="J24" s="133"/>
    </row>
    <row r="25" spans="2:10" ht="30" x14ac:dyDescent="0.25">
      <c r="B25" s="787" t="str">
        <f>'Inputs and eligible population'!C79</f>
        <v>People receiving selinexor with bortezomib and dexamethasone (option when refractory to lenalidomide)</v>
      </c>
      <c r="C25" s="128">
        <f>'Inputs and eligible population'!F$49*'Inputs and eligible population'!E79</f>
        <v>0</v>
      </c>
      <c r="D25" s="128">
        <f>'Inputs and eligible population'!G$49*'Inputs and eligible population'!F79</f>
        <v>304.18181610956231</v>
      </c>
      <c r="E25" s="128">
        <f>'Inputs and eligible population'!H$49*'Inputs and eligible population'!G79</f>
        <v>633.42402464244526</v>
      </c>
      <c r="F25" s="128">
        <f>'Inputs and eligible population'!I$49*'Inputs and eligible population'!H79</f>
        <v>639.53137713107481</v>
      </c>
      <c r="G25" s="128">
        <f>'Inputs and eligible population'!J$49*'Inputs and eligible population'!I79</f>
        <v>645.69761553651381</v>
      </c>
      <c r="H25" s="128">
        <f>'Inputs and eligible population'!K$49*'Inputs and eligible population'!J79</f>
        <v>651.92330762543486</v>
      </c>
      <c r="J25" s="133"/>
    </row>
    <row r="26" spans="2:10" ht="30" x14ac:dyDescent="0.25">
      <c r="B26" s="787" t="str">
        <f>'Inputs and eligible population'!C80</f>
        <v>People receiving panobinostat with bortezomib and dexamethasone (option when refractory to lenalidomide)</v>
      </c>
      <c r="C26" s="128">
        <f>'Inputs and eligible population'!F$49*'Inputs and eligible population'!E80</f>
        <v>1214.5227516596101</v>
      </c>
      <c r="D26" s="128">
        <f>'Inputs and eligible population'!G$49*'Inputs and eligible population'!F80</f>
        <v>912.54544832868692</v>
      </c>
      <c r="E26" s="128">
        <f>'Inputs and eligible population'!H$49*'Inputs and eligible population'!G80</f>
        <v>595.03468981563037</v>
      </c>
      <c r="F26" s="128">
        <f>'Inputs and eligible population'!I$49*'Inputs and eligible population'!H80</f>
        <v>600.77189972919143</v>
      </c>
      <c r="G26" s="128">
        <f>'Inputs and eligible population'!J$49*'Inputs and eligible population'!I80</f>
        <v>606.56442671611899</v>
      </c>
      <c r="H26" s="128">
        <f>'Inputs and eligible population'!K$49*'Inputs and eligible population'!J80</f>
        <v>612.41280413298421</v>
      </c>
      <c r="J26" s="133"/>
    </row>
    <row r="27" spans="2:10" x14ac:dyDescent="0.25">
      <c r="B27" s="358" t="str">
        <f>'Inputs and eligible population'!D81</f>
        <v>People receiving lenalidomide plus dexamethasone</v>
      </c>
      <c r="C27" s="128">
        <f>'Inputs and eligible population'!F$49*'Inputs and eligible population'!E81</f>
        <v>122.39376567112349</v>
      </c>
      <c r="D27" s="128">
        <f>'Inputs and eligible population'!G$49*'Inputs and eligible population'!F81</f>
        <v>133.07954454793352</v>
      </c>
      <c r="E27" s="128">
        <f>'Inputs and eligible population'!H$49*'Inputs and eligible population'!G81</f>
        <v>134.36267189385205</v>
      </c>
      <c r="F27" s="128">
        <f>'Inputs and eligible population'!I$49*'Inputs and eligible population'!H81</f>
        <v>135.65817090659164</v>
      </c>
      <c r="G27" s="128">
        <f>'Inputs and eligible population'!J$49*'Inputs and eligible population'!I81</f>
        <v>136.96616087138173</v>
      </c>
      <c r="H27" s="128">
        <f>'Inputs and eligible population'!K$49*'Inputs and eligible population'!J81</f>
        <v>138.28676222357709</v>
      </c>
      <c r="J27" s="133"/>
    </row>
    <row r="28" spans="2:10" x14ac:dyDescent="0.25">
      <c r="B28" s="358" t="str">
        <f>'Inputs and eligible population'!D82</f>
        <v>People receiving ixazomib with dexamethasone and lenalidomide</v>
      </c>
      <c r="C28" s="128">
        <f>'Inputs and eligible population'!F$49*'Inputs and eligible population'!E82</f>
        <v>546.06449299424321</v>
      </c>
      <c r="D28" s="128">
        <f>'Inputs and eligible population'!G$49*'Inputs and eligible population'!F82</f>
        <v>551.32954169858169</v>
      </c>
      <c r="E28" s="128">
        <f>'Inputs and eligible population'!H$49*'Inputs and eligible population'!G82</f>
        <v>556.64535498881548</v>
      </c>
      <c r="F28" s="128">
        <f>'Inputs and eligible population'!I$49*'Inputs and eligible population'!H82</f>
        <v>562.01242232730806</v>
      </c>
      <c r="G28" s="128">
        <f>'Inputs and eligible population'!J$49*'Inputs and eligible population'!I82</f>
        <v>567.43123789572417</v>
      </c>
      <c r="H28" s="128">
        <f>'Inputs and eligible population'!K$49*'Inputs and eligible population'!J82</f>
        <v>572.90230064053355</v>
      </c>
      <c r="J28" s="133"/>
    </row>
    <row r="29" spans="2:10" x14ac:dyDescent="0.25">
      <c r="B29" s="271"/>
      <c r="C29" s="182">
        <f t="shared" ref="C29:H29" si="1">SUM(C25:C28)</f>
        <v>1882.9810103249768</v>
      </c>
      <c r="D29" s="182">
        <f t="shared" si="1"/>
        <v>1901.1363506847642</v>
      </c>
      <c r="E29" s="182">
        <f t="shared" si="1"/>
        <v>1919.4667413407433</v>
      </c>
      <c r="F29" s="182">
        <f t="shared" si="1"/>
        <v>1937.9738700941659</v>
      </c>
      <c r="G29" s="182">
        <f t="shared" si="1"/>
        <v>1956.659441019739</v>
      </c>
      <c r="H29" s="182">
        <f t="shared" si="1"/>
        <v>1975.5251746225299</v>
      </c>
      <c r="J29" s="133"/>
    </row>
    <row r="30" spans="2:10" x14ac:dyDescent="0.25">
      <c r="B30" s="247"/>
      <c r="C30" s="370"/>
      <c r="D30" s="370"/>
      <c r="E30" s="370"/>
      <c r="F30" s="370"/>
      <c r="G30" s="370"/>
      <c r="H30" s="370"/>
      <c r="J30" s="133"/>
    </row>
    <row r="31" spans="2:10" ht="15.75" thickBot="1" x14ac:dyDescent="0.3">
      <c r="B31" s="558"/>
      <c r="C31" s="558"/>
      <c r="D31" s="559"/>
      <c r="E31" s="559"/>
      <c r="F31" s="559"/>
      <c r="G31" s="559"/>
      <c r="H31" s="559"/>
      <c r="I31" s="560"/>
      <c r="J31" s="133"/>
    </row>
    <row r="32" spans="2:10" x14ac:dyDescent="0.25">
      <c r="B32" s="273"/>
      <c r="C32" s="273"/>
      <c r="D32" s="346"/>
      <c r="E32" s="346"/>
      <c r="F32" s="346"/>
      <c r="G32" s="346"/>
      <c r="H32" s="346"/>
      <c r="I32" s="133"/>
      <c r="J32" s="133"/>
    </row>
    <row r="33" spans="1:10" ht="30" x14ac:dyDescent="0.25">
      <c r="B33" s="266" t="s">
        <v>1132</v>
      </c>
      <c r="C33" s="241" t="s">
        <v>164</v>
      </c>
      <c r="D33" s="165" t="s">
        <v>70</v>
      </c>
      <c r="E33" s="165" t="s">
        <v>71</v>
      </c>
      <c r="F33" s="165" t="s">
        <v>72</v>
      </c>
      <c r="G33" s="165" t="s">
        <v>73</v>
      </c>
      <c r="H33" s="165" t="s">
        <v>74</v>
      </c>
      <c r="I33" s="133"/>
      <c r="J33" s="133"/>
    </row>
    <row r="34" spans="1:10" x14ac:dyDescent="0.25">
      <c r="B34" s="301" t="s">
        <v>165</v>
      </c>
      <c r="C34" s="257" t="s">
        <v>166</v>
      </c>
      <c r="D34" s="257" t="s">
        <v>166</v>
      </c>
      <c r="E34" s="257" t="s">
        <v>166</v>
      </c>
      <c r="F34" s="257" t="s">
        <v>166</v>
      </c>
      <c r="G34" s="257" t="s">
        <v>166</v>
      </c>
      <c r="H34" s="257" t="s">
        <v>166</v>
      </c>
      <c r="I34" s="133"/>
      <c r="J34" s="133"/>
    </row>
    <row r="35" spans="1:10" x14ac:dyDescent="0.25">
      <c r="B35" s="272" t="s">
        <v>167</v>
      </c>
      <c r="C35" s="258">
        <f>'Financial impact (cash)'!D31</f>
        <v>0</v>
      </c>
      <c r="D35" s="258">
        <f>'Financial impact (cash)'!E31</f>
        <v>0</v>
      </c>
      <c r="E35" s="258">
        <f>'Financial impact (cash)'!F31</f>
        <v>0</v>
      </c>
      <c r="F35" s="258">
        <f>'Financial impact (cash)'!G31</f>
        <v>0</v>
      </c>
      <c r="G35" s="258">
        <f>'Financial impact (cash)'!H31</f>
        <v>0</v>
      </c>
      <c r="H35" s="258">
        <f>'Financial impact (cash)'!I31</f>
        <v>0</v>
      </c>
      <c r="I35" s="133"/>
      <c r="J35" s="133"/>
    </row>
    <row r="36" spans="1:10" x14ac:dyDescent="0.25">
      <c r="C36" s="78"/>
      <c r="D36" s="197">
        <f>D35-$C$35</f>
        <v>0</v>
      </c>
      <c r="E36" s="197">
        <f>E35-$C$35</f>
        <v>0</v>
      </c>
      <c r="F36" s="197">
        <f>F35-$C$35</f>
        <v>0</v>
      </c>
      <c r="G36" s="197">
        <f>G35-$C$35</f>
        <v>0</v>
      </c>
      <c r="H36" s="197">
        <f>H35-$C$35</f>
        <v>0</v>
      </c>
      <c r="I36" s="479" t="s">
        <v>168</v>
      </c>
      <c r="J36" s="133"/>
    </row>
    <row r="37" spans="1:10" x14ac:dyDescent="0.25">
      <c r="C37" s="88"/>
      <c r="D37" s="197">
        <f>D35-C35</f>
        <v>0</v>
      </c>
      <c r="E37" s="197">
        <f>E35-D35</f>
        <v>0</v>
      </c>
      <c r="F37" s="197">
        <f>F35-E35</f>
        <v>0</v>
      </c>
      <c r="G37" s="197">
        <f>G35-F35</f>
        <v>0</v>
      </c>
      <c r="H37" s="197">
        <f>H35-G35</f>
        <v>0</v>
      </c>
      <c r="I37" s="479" t="s">
        <v>169</v>
      </c>
      <c r="J37" s="133"/>
    </row>
    <row r="38" spans="1:10" x14ac:dyDescent="0.25">
      <c r="D38" s="346"/>
      <c r="E38" s="346"/>
      <c r="F38" s="346"/>
      <c r="G38" s="346"/>
      <c r="H38" s="346"/>
      <c r="I38" s="690"/>
      <c r="J38" s="133"/>
    </row>
    <row r="39" spans="1:10" ht="30" x14ac:dyDescent="0.25">
      <c r="B39" s="266" t="s">
        <v>1133</v>
      </c>
      <c r="C39" s="241" t="s">
        <v>164</v>
      </c>
      <c r="D39" s="165" t="s">
        <v>70</v>
      </c>
      <c r="E39" s="165" t="s">
        <v>71</v>
      </c>
      <c r="F39" s="165" t="s">
        <v>72</v>
      </c>
      <c r="G39" s="165" t="s">
        <v>73</v>
      </c>
      <c r="H39" s="165" t="s">
        <v>74</v>
      </c>
      <c r="I39" s="133"/>
      <c r="J39" s="133"/>
    </row>
    <row r="40" spans="1:10" x14ac:dyDescent="0.25">
      <c r="B40" s="301" t="s">
        <v>165</v>
      </c>
      <c r="C40" s="257" t="s">
        <v>166</v>
      </c>
      <c r="D40" s="257" t="s">
        <v>166</v>
      </c>
      <c r="E40" s="257" t="s">
        <v>166</v>
      </c>
      <c r="F40" s="257" t="s">
        <v>166</v>
      </c>
      <c r="G40" s="257" t="s">
        <v>166</v>
      </c>
      <c r="H40" s="257" t="s">
        <v>166</v>
      </c>
      <c r="I40" s="133"/>
      <c r="J40" s="133"/>
    </row>
    <row r="41" spans="1:10" x14ac:dyDescent="0.25">
      <c r="B41" s="272" t="s">
        <v>167</v>
      </c>
      <c r="C41" s="258">
        <f>'Financial impact (cash)'!D53</f>
        <v>0</v>
      </c>
      <c r="D41" s="258">
        <f>'Financial impact (cash)'!E53</f>
        <v>0</v>
      </c>
      <c r="E41" s="258">
        <f>'Financial impact (cash)'!F53</f>
        <v>0</v>
      </c>
      <c r="F41" s="258">
        <f>'Financial impact (cash)'!G53</f>
        <v>0</v>
      </c>
      <c r="G41" s="258">
        <f>'Financial impact (cash)'!H53</f>
        <v>0</v>
      </c>
      <c r="H41" s="258">
        <f>'Financial impact (cash)'!I53</f>
        <v>0</v>
      </c>
      <c r="I41" s="133"/>
      <c r="J41" s="133"/>
    </row>
    <row r="42" spans="1:10" x14ac:dyDescent="0.25">
      <c r="C42" s="78"/>
      <c r="D42" s="197">
        <f>D41-$C$41</f>
        <v>0</v>
      </c>
      <c r="E42" s="197">
        <f t="shared" ref="E42:H42" si="2">E41-$C$41</f>
        <v>0</v>
      </c>
      <c r="F42" s="197">
        <f t="shared" si="2"/>
        <v>0</v>
      </c>
      <c r="G42" s="197">
        <f t="shared" si="2"/>
        <v>0</v>
      </c>
      <c r="H42" s="197">
        <f t="shared" si="2"/>
        <v>0</v>
      </c>
      <c r="I42" s="479" t="s">
        <v>168</v>
      </c>
      <c r="J42" s="133"/>
    </row>
    <row r="43" spans="1:10" x14ac:dyDescent="0.25">
      <c r="C43" s="88"/>
      <c r="D43" s="197">
        <f>D41-C41</f>
        <v>0</v>
      </c>
      <c r="E43" s="197">
        <f>E41-D41</f>
        <v>0</v>
      </c>
      <c r="F43" s="197">
        <f>F41-E41</f>
        <v>0</v>
      </c>
      <c r="G43" s="197">
        <f>G41-F41</f>
        <v>0</v>
      </c>
      <c r="H43" s="197">
        <f>H41-G41</f>
        <v>0</v>
      </c>
      <c r="I43" s="479" t="s">
        <v>169</v>
      </c>
      <c r="J43" s="133"/>
    </row>
    <row r="44" spans="1:10" x14ac:dyDescent="0.25">
      <c r="D44" s="346"/>
      <c r="E44" s="346"/>
      <c r="F44" s="346"/>
      <c r="G44" s="346"/>
      <c r="H44" s="346"/>
      <c r="I44" s="690"/>
      <c r="J44" s="133"/>
    </row>
    <row r="45" spans="1:10" x14ac:dyDescent="0.25">
      <c r="B45" t="s">
        <v>170</v>
      </c>
      <c r="C45" s="273"/>
      <c r="D45" s="419"/>
      <c r="E45" s="419"/>
      <c r="F45" s="419"/>
      <c r="G45" s="419"/>
      <c r="H45" s="419"/>
      <c r="J45" s="133"/>
    </row>
    <row r="46" spans="1:10" x14ac:dyDescent="0.25">
      <c r="B46" s="691" t="s">
        <v>158</v>
      </c>
      <c r="C46" s="273"/>
      <c r="D46" s="419"/>
      <c r="E46" s="419"/>
      <c r="F46" s="419"/>
      <c r="G46" s="419"/>
      <c r="H46" s="419"/>
      <c r="J46" s="133"/>
    </row>
    <row r="47" spans="1:10" x14ac:dyDescent="0.25">
      <c r="B47" s="273"/>
      <c r="C47" s="273"/>
      <c r="D47" s="419"/>
      <c r="E47" s="419"/>
      <c r="F47" s="419"/>
      <c r="G47" s="419"/>
      <c r="H47" s="419"/>
      <c r="J47" s="133"/>
    </row>
    <row r="48" spans="1:10" ht="30" x14ac:dyDescent="0.25">
      <c r="A48" s="419"/>
      <c r="B48" s="266" t="s">
        <v>171</v>
      </c>
      <c r="C48" s="241" t="s">
        <v>164</v>
      </c>
      <c r="D48" s="165" t="s">
        <v>70</v>
      </c>
      <c r="E48" s="165" t="s">
        <v>71</v>
      </c>
      <c r="F48" s="165" t="s">
        <v>72</v>
      </c>
      <c r="G48" s="165" t="s">
        <v>73</v>
      </c>
      <c r="H48" s="165" t="s">
        <v>74</v>
      </c>
      <c r="J48" s="133"/>
    </row>
    <row r="49" spans="1:10" x14ac:dyDescent="0.25">
      <c r="A49" s="419"/>
      <c r="B49" s="301" t="s">
        <v>172</v>
      </c>
      <c r="C49" s="257" t="s">
        <v>166</v>
      </c>
      <c r="D49" s="257" t="s">
        <v>166</v>
      </c>
      <c r="E49" s="692">
        <f>'Financial impact (cash)'!D14</f>
        <v>0</v>
      </c>
      <c r="F49" s="257" t="s">
        <v>166</v>
      </c>
      <c r="G49" s="257" t="s">
        <v>166</v>
      </c>
      <c r="H49" s="257" t="s">
        <v>166</v>
      </c>
      <c r="J49" s="133"/>
    </row>
    <row r="50" spans="1:10" x14ac:dyDescent="0.25">
      <c r="A50" s="419"/>
      <c r="B50" s="272" t="s">
        <v>173</v>
      </c>
      <c r="C50" s="258">
        <f>IF($B$46="national prices",'Capacity (national prices) 2nd'!L27+'Capacity (national prices)  3rd'!L27,IF($B$46="local prices",'Capacity (local prices) 2nd'!L29+'Capacity (local prices) 3rd'!L29,0))</f>
        <v>9860.7352367093536</v>
      </c>
      <c r="D50" s="258">
        <f>IF($B$46="national prices",'Capacity (national prices) 2nd'!M27+'Capacity (national prices)  3rd'!M27,IF($B$46="local prices",'Capacity (local prices) 2nd'!M29+'Capacity (local prices) 3rd'!M29,0))</f>
        <v>10272.957421170833</v>
      </c>
      <c r="E50" s="258">
        <f>IF($B$46="national prices",'Capacity (national prices) 2nd'!N27+'Capacity (national prices)  3rd'!N27,IF($B$46="local prices",'Capacity (local prices) 2nd'!N29+'Capacity (local prices) 3rd'!N29,0))</f>
        <v>11088.676536292245</v>
      </c>
      <c r="F50" s="258">
        <f>IF($B$46="national prices",'Capacity (national prices) 2nd'!O27+'Capacity (national prices)  3rd'!O27,IF($B$46="local prices",'Capacity (local prices) 2nd'!O29+'Capacity (local prices) 3rd'!O29,0))</f>
        <v>11953.504360072639</v>
      </c>
      <c r="G50" s="258">
        <f>IF($B$46="national prices",'Capacity (national prices) 2nd'!P27+'Capacity (national prices)  3rd'!P27,IF($B$46="local prices",'Capacity (local prices) 2nd'!P29+'Capacity (local prices) 3rd'!P29,0))</f>
        <v>12775.649153401595</v>
      </c>
      <c r="H50" s="258">
        <f>IF($B$46="national prices",'Capacity (national prices) 2nd'!Q27+'Capacity (national prices)  3rd'!Q27,IF($B$46="local prices",'Capacity (local prices) 2nd'!Q29+'Capacity (local prices) 3rd'!Q29,0))</f>
        <v>13184.006619188074</v>
      </c>
      <c r="J50" s="133"/>
    </row>
    <row r="51" spans="1:10" x14ac:dyDescent="0.25">
      <c r="A51" s="419"/>
      <c r="C51" s="78"/>
      <c r="D51" s="197">
        <f>D50-$C$50</f>
        <v>412.22218446147963</v>
      </c>
      <c r="E51" s="197">
        <f>E50-$C$50</f>
        <v>1227.9412995828916</v>
      </c>
      <c r="F51" s="197">
        <f>F50-$C$50</f>
        <v>2092.769123363285</v>
      </c>
      <c r="G51" s="197">
        <f>G50-$C$50</f>
        <v>2914.9139166922414</v>
      </c>
      <c r="H51" s="197">
        <f>H50-$C$50</f>
        <v>3323.2713824787206</v>
      </c>
      <c r="I51" s="479" t="s">
        <v>168</v>
      </c>
      <c r="J51" s="133"/>
    </row>
    <row r="52" spans="1:10" x14ac:dyDescent="0.25">
      <c r="A52" s="419"/>
      <c r="C52" s="88"/>
      <c r="D52" s="197">
        <f>D50-C50</f>
        <v>412.22218446147963</v>
      </c>
      <c r="E52" s="197">
        <f>E50-D50</f>
        <v>815.71911512141196</v>
      </c>
      <c r="F52" s="197">
        <f>F50-E50</f>
        <v>864.82782378039337</v>
      </c>
      <c r="G52" s="197">
        <f>G50-F50</f>
        <v>822.14479332895644</v>
      </c>
      <c r="H52" s="197">
        <f>H50-G50</f>
        <v>408.35746578647922</v>
      </c>
      <c r="I52" s="479" t="s">
        <v>169</v>
      </c>
      <c r="J52" s="133"/>
    </row>
    <row r="53" spans="1:10" x14ac:dyDescent="0.25">
      <c r="A53" s="419"/>
      <c r="B53" s="419"/>
      <c r="C53" s="419"/>
      <c r="D53" s="419"/>
      <c r="E53" s="419"/>
      <c r="F53" s="419"/>
      <c r="G53" s="419"/>
      <c r="H53" s="419"/>
      <c r="J53" s="133"/>
    </row>
    <row r="54" spans="1:10" ht="30" x14ac:dyDescent="0.25">
      <c r="A54" s="419"/>
      <c r="B54" s="266" t="s">
        <v>174</v>
      </c>
      <c r="C54" s="241" t="s">
        <v>164</v>
      </c>
      <c r="D54" s="165" t="s">
        <v>70</v>
      </c>
      <c r="E54" s="165" t="s">
        <v>71</v>
      </c>
      <c r="F54" s="165" t="s">
        <v>72</v>
      </c>
      <c r="G54" s="165" t="s">
        <v>73</v>
      </c>
      <c r="H54" s="165" t="s">
        <v>74</v>
      </c>
      <c r="J54" s="133"/>
    </row>
    <row r="55" spans="1:10" x14ac:dyDescent="0.25">
      <c r="B55" s="301"/>
      <c r="C55" s="257" t="s">
        <v>166</v>
      </c>
      <c r="D55" s="257" t="s">
        <v>166</v>
      </c>
      <c r="E55" s="257" t="s">
        <v>166</v>
      </c>
      <c r="F55" s="257" t="s">
        <v>166</v>
      </c>
      <c r="G55" s="257" t="s">
        <v>166</v>
      </c>
      <c r="H55" s="257" t="s">
        <v>166</v>
      </c>
      <c r="I55" s="133"/>
      <c r="J55" s="133"/>
    </row>
    <row r="56" spans="1:10" x14ac:dyDescent="0.25">
      <c r="B56" s="554" t="s">
        <v>175</v>
      </c>
      <c r="C56" s="573">
        <f>C35+C41+C50</f>
        <v>9860.7352367093536</v>
      </c>
      <c r="D56" s="573">
        <f t="shared" ref="D56:H56" si="3">D35+D41+D50</f>
        <v>10272.957421170833</v>
      </c>
      <c r="E56" s="573">
        <f t="shared" si="3"/>
        <v>11088.676536292245</v>
      </c>
      <c r="F56" s="573">
        <f t="shared" si="3"/>
        <v>11953.504360072639</v>
      </c>
      <c r="G56" s="573">
        <f t="shared" si="3"/>
        <v>12775.649153401595</v>
      </c>
      <c r="H56" s="573">
        <f t="shared" si="3"/>
        <v>13184.006619188074</v>
      </c>
      <c r="I56" s="133"/>
      <c r="J56" s="133"/>
    </row>
    <row r="57" spans="1:10" x14ac:dyDescent="0.25">
      <c r="B57" s="553"/>
      <c r="C57" s="555"/>
      <c r="D57" s="556">
        <f>D56-$C$56</f>
        <v>412.22218446147963</v>
      </c>
      <c r="E57" s="556">
        <f>E56-$C$56</f>
        <v>1227.9412995828916</v>
      </c>
      <c r="F57" s="556">
        <f>F56-$C$56</f>
        <v>2092.769123363285</v>
      </c>
      <c r="G57" s="556">
        <f>G56-$C$56</f>
        <v>2914.9139166922414</v>
      </c>
      <c r="H57" s="556">
        <f>H56-$C$56</f>
        <v>3323.2713824787206</v>
      </c>
      <c r="I57" s="479" t="s">
        <v>168</v>
      </c>
      <c r="J57" s="133"/>
    </row>
    <row r="58" spans="1:10" x14ac:dyDescent="0.25">
      <c r="B58" s="553"/>
      <c r="C58" s="555"/>
      <c r="D58" s="557">
        <f>D56-C56</f>
        <v>412.22218446147963</v>
      </c>
      <c r="E58" s="557">
        <f>E56-D56</f>
        <v>815.71911512141196</v>
      </c>
      <c r="F58" s="557">
        <f>F56-E56</f>
        <v>864.82782378039337</v>
      </c>
      <c r="G58" s="557">
        <f>G56-F56</f>
        <v>822.14479332895644</v>
      </c>
      <c r="H58" s="557">
        <f>H56-G56</f>
        <v>408.35746578647922</v>
      </c>
      <c r="I58" s="479" t="s">
        <v>169</v>
      </c>
      <c r="J58" s="133"/>
    </row>
    <row r="59" spans="1:10" ht="15.75" thickBot="1" x14ac:dyDescent="0.3">
      <c r="B59" s="558"/>
      <c r="C59" s="558"/>
      <c r="D59" s="559"/>
      <c r="E59" s="559"/>
      <c r="F59" s="559"/>
      <c r="G59" s="559"/>
      <c r="H59" s="559"/>
      <c r="I59" s="560"/>
      <c r="J59" s="133"/>
    </row>
    <row r="60" spans="1:10" x14ac:dyDescent="0.25">
      <c r="B60" s="273"/>
      <c r="C60" s="273"/>
      <c r="D60" s="346"/>
      <c r="E60" s="346"/>
      <c r="F60" s="346"/>
      <c r="G60" s="346"/>
      <c r="H60" s="346"/>
      <c r="I60" s="133"/>
      <c r="J60" s="133"/>
    </row>
    <row r="61" spans="1:10" x14ac:dyDescent="0.25">
      <c r="B61" s="266" t="s">
        <v>176</v>
      </c>
      <c r="C61" s="536"/>
      <c r="D61" s="165" t="s">
        <v>70</v>
      </c>
      <c r="E61" s="165" t="s">
        <v>71</v>
      </c>
      <c r="F61" s="165" t="s">
        <v>72</v>
      </c>
      <c r="G61" s="165" t="s">
        <v>73</v>
      </c>
      <c r="H61" s="165" t="s">
        <v>74</v>
      </c>
      <c r="I61" s="133"/>
      <c r="J61" s="133"/>
    </row>
    <row r="62" spans="1:10" x14ac:dyDescent="0.25">
      <c r="B62" s="539"/>
      <c r="C62" s="537"/>
      <c r="D62" s="538"/>
      <c r="E62" s="538"/>
      <c r="F62" s="538"/>
      <c r="G62" s="538"/>
      <c r="H62" s="538"/>
      <c r="I62" s="133"/>
      <c r="J62" s="133"/>
    </row>
    <row r="63" spans="1:10" x14ac:dyDescent="0.25">
      <c r="B63" s="266" t="s">
        <v>754</v>
      </c>
      <c r="C63" s="267"/>
      <c r="D63" s="184"/>
      <c r="E63" s="184"/>
      <c r="F63" s="184"/>
      <c r="G63" s="184"/>
      <c r="H63" s="184"/>
      <c r="I63" s="185"/>
      <c r="J63" s="133"/>
    </row>
    <row r="64" spans="1:10" ht="30" x14ac:dyDescent="0.25">
      <c r="B64" s="358" t="s">
        <v>1134</v>
      </c>
      <c r="C64" s="693"/>
      <c r="D64" s="361">
        <f>'Capacity (local prices) 2nd'!E64+'Capacity (local prices) 2nd'!E66</f>
        <v>1242.4577098884117</v>
      </c>
      <c r="E64" s="361">
        <f>'Capacity (local prices) 2nd'!F64+'Capacity (local prices) 2nd'!F66</f>
        <v>2916.4641137150479</v>
      </c>
      <c r="F64" s="361">
        <f>'Capacity (local prices) 2nd'!G64+'Capacity (local prices) 2nd'!G66</f>
        <v>4542.2272170377164</v>
      </c>
      <c r="G64" s="361">
        <f>'Capacity (local prices) 2nd'!H64+'Capacity (local prices) 2nd'!H66</f>
        <v>6182.3740415763332</v>
      </c>
      <c r="H64" s="361">
        <f>'Capacity (local prices) 2nd'!I64+'Capacity (local prices) 2nd'!I66</f>
        <v>6446.9730339558764</v>
      </c>
      <c r="I64" s="694" t="s">
        <v>1079</v>
      </c>
      <c r="J64" s="133"/>
    </row>
    <row r="65" spans="2:10" ht="30" x14ac:dyDescent="0.25">
      <c r="B65" s="358" t="s">
        <v>1135</v>
      </c>
      <c r="C65" s="693"/>
      <c r="D65" s="361">
        <f>'Capacity (local prices) 2nd'!E65+'Capacity (local prices) 2nd'!E67</f>
        <v>3727.373129665235</v>
      </c>
      <c r="E65" s="361">
        <f>'Capacity (local prices) 2nd'!F65+'Capacity (local prices) 2nd'!F67</f>
        <v>8749.3923411451415</v>
      </c>
      <c r="F65" s="361">
        <f>'Capacity (local prices) 2nd'!G65+'Capacity (local prices) 2nd'!G67</f>
        <v>13626.681651113147</v>
      </c>
      <c r="G65" s="361">
        <f>'Capacity (local prices) 2nd'!H65+'Capacity (local prices) 2nd'!H67</f>
        <v>18547.122124728998</v>
      </c>
      <c r="H65" s="361">
        <f>'Capacity (local prices) 2nd'!I65+'Capacity (local prices) 2nd'!I67</f>
        <v>19340.919101867628</v>
      </c>
      <c r="I65" s="694" t="s">
        <v>1082</v>
      </c>
      <c r="J65" s="133"/>
    </row>
    <row r="66" spans="2:10" ht="30" x14ac:dyDescent="0.25">
      <c r="B66" s="358" t="s">
        <v>1136</v>
      </c>
      <c r="C66" s="695"/>
      <c r="D66" s="361">
        <f>'Capacity (local prices) 2nd'!E68+'Capacity (local prices) 2nd'!E70</f>
        <v>2156.7932603256054</v>
      </c>
      <c r="E66" s="361">
        <f>'Capacity (local prices) 2nd'!F68+'Capacity (local prices) 2nd'!F70</f>
        <v>4252.7666233499294</v>
      </c>
      <c r="F66" s="361">
        <f>'Capacity (local prices) 2nd'!G68+'Capacity (local prices) 2nd'!G70</f>
        <v>7020.1425542685756</v>
      </c>
      <c r="G66" s="361">
        <f>'Capacity (local prices) 2nd'!H68+'Capacity (local prices) 2nd'!H70</f>
        <v>9763.3053161167736</v>
      </c>
      <c r="H66" s="361">
        <f>'Capacity (local prices) 2nd'!I68+'Capacity (local prices) 2nd'!I70</f>
        <v>10805.089289851445</v>
      </c>
      <c r="I66" s="694" t="s">
        <v>1079</v>
      </c>
      <c r="J66" s="133"/>
    </row>
    <row r="67" spans="2:10" ht="30" x14ac:dyDescent="0.25">
      <c r="B67" s="358" t="s">
        <v>1137</v>
      </c>
      <c r="C67" s="696"/>
      <c r="D67" s="361">
        <f>'Capacity (local prices) 2nd'!E69+'Capacity (local prices) 2nd'!E71</f>
        <v>10069.127619226476</v>
      </c>
      <c r="E67" s="361">
        <f>'Capacity (local prices) 2nd'!F69+'Capacity (local prices) 2nd'!F71</f>
        <v>19691.036879392945</v>
      </c>
      <c r="F67" s="361">
        <f>'Capacity (local prices) 2nd'!G69+'Capacity (local prices) 2nd'!G71</f>
        <v>32718.771517556946</v>
      </c>
      <c r="G67" s="361">
        <f>'Capacity (local prices) 2nd'!H69+'Capacity (local prices) 2nd'!H71</f>
        <v>45609.983283590103</v>
      </c>
      <c r="H67" s="361">
        <f>'Capacity (local prices) 2nd'!I69+'Capacity (local prices) 2nd'!I71</f>
        <v>50787.986279169098</v>
      </c>
      <c r="I67" s="694" t="s">
        <v>1082</v>
      </c>
      <c r="J67" s="133"/>
    </row>
    <row r="68" spans="2:10" x14ac:dyDescent="0.25">
      <c r="B68" s="358" t="s">
        <v>1255</v>
      </c>
      <c r="C68" s="693"/>
      <c r="D68" s="361">
        <f>'Capacity (local prices) 2nd'!E72</f>
        <v>5076.6822026040518</v>
      </c>
      <c r="E68" s="361">
        <f>'Capacity (local prices) 2nd'!F72</f>
        <v>4556.1160844063234</v>
      </c>
      <c r="F68" s="361">
        <f>'Capacity (local prices) 2nd'!G72</f>
        <v>4025.0396186660441</v>
      </c>
      <c r="G68" s="361">
        <f>'Capacity (local prices) 2nd'!H72</f>
        <v>3483.298522031921</v>
      </c>
      <c r="H68" s="361">
        <f>'Capacity (local prices) 2nd'!I72</f>
        <v>3516.8838157207401</v>
      </c>
      <c r="I68" s="694" t="s">
        <v>1085</v>
      </c>
      <c r="J68" s="133"/>
    </row>
    <row r="69" spans="2:10" ht="30" x14ac:dyDescent="0.25">
      <c r="B69" s="358" t="s">
        <v>1256</v>
      </c>
      <c r="C69" s="693"/>
      <c r="D69" s="361">
        <f>'Capacity (local prices) 2nd'!E73</f>
        <v>5062.7734842407526</v>
      </c>
      <c r="E69" s="361">
        <f>'Capacity (local prices) 2nd'!F73</f>
        <v>4543.6335745860315</v>
      </c>
      <c r="F69" s="361">
        <f>'Capacity (local prices) 2nd'!G73</f>
        <v>4014.0121128614796</v>
      </c>
      <c r="G69" s="361">
        <f>'Capacity (local prices) 2nd'!H73</f>
        <v>3473.7552384099154</v>
      </c>
      <c r="H69" s="361">
        <f>'Capacity (local prices) 2nd'!I73</f>
        <v>3507.2485175954776</v>
      </c>
      <c r="I69" s="694" t="s">
        <v>1079</v>
      </c>
      <c r="J69" s="133"/>
    </row>
    <row r="70" spans="2:10" ht="30" x14ac:dyDescent="0.25">
      <c r="B70" s="358" t="s">
        <v>1257</v>
      </c>
      <c r="C70" s="693"/>
      <c r="D70" s="361">
        <f>'Capacity (local prices) 2nd'!E76+'Capacity (local prices) 2nd'!E74</f>
        <v>26163.595976570174</v>
      </c>
      <c r="E70" s="361">
        <f>'Capacity (local prices) 2nd'!F76+'Capacity (local prices) 2nd'!F74</f>
        <v>23576.923779683308</v>
      </c>
      <c r="F70" s="361">
        <f>'Capacity (local prices) 2nd'!G76+'Capacity (local prices) 2nd'!G74</f>
        <v>20850.561339124411</v>
      </c>
      <c r="G70" s="361">
        <f>'Capacity (local prices) 2nd'!H76+'Capacity (local prices) 2nd'!H74</f>
        <v>18069.432959328507</v>
      </c>
      <c r="H70" s="361">
        <f>'Capacity (local prices) 2nd'!I76+'Capacity (local prices) 2nd'!I74</f>
        <v>18065.513658627289</v>
      </c>
      <c r="I70" s="694" t="s">
        <v>1082</v>
      </c>
      <c r="J70" s="133"/>
    </row>
    <row r="71" spans="2:10" x14ac:dyDescent="0.25">
      <c r="B71" s="358" t="s">
        <v>1258</v>
      </c>
      <c r="C71" s="693"/>
      <c r="D71" s="361">
        <f>'Capacity (local prices) 2nd'!E75</f>
        <v>3664.3877633500742</v>
      </c>
      <c r="E71" s="361">
        <f>'Capacity (local prices) 2nd'!F75</f>
        <v>3504.9970275512901</v>
      </c>
      <c r="F71" s="361">
        <f>'Capacity (local prices) 2nd'!G75</f>
        <v>3145.5924747134068</v>
      </c>
      <c r="G71" s="361">
        <f>'Capacity (local prices) 2nd'!H75</f>
        <v>2778.9314627502549</v>
      </c>
      <c r="H71" s="361">
        <f>'Capacity (local prices) 2nd'!I75</f>
        <v>2404.9074727453262</v>
      </c>
      <c r="I71" s="694" t="s">
        <v>1085</v>
      </c>
      <c r="J71" s="133"/>
    </row>
    <row r="72" spans="2:10" ht="30" x14ac:dyDescent="0.25">
      <c r="B72" s="358" t="s">
        <v>1138</v>
      </c>
      <c r="C72" s="695"/>
      <c r="D72" s="361">
        <f>'Capacity (local prices) 2nd'!E77</f>
        <v>3440.0896751892292</v>
      </c>
      <c r="E72" s="361">
        <f>'Capacity (local prices) 2nd'!F77</f>
        <v>2883.4597684872892</v>
      </c>
      <c r="F72" s="361">
        <f>'Capacity (local prices) 2nd'!G77</f>
        <v>2381.9412537859325</v>
      </c>
      <c r="G72" s="361">
        <f>'Capacity (local prices) 2nd'!H77</f>
        <v>1870.4835899130314</v>
      </c>
      <c r="H72" s="361">
        <f>'Capacity (local prices) 2nd'!I77</f>
        <v>1888.518432551411</v>
      </c>
      <c r="I72" s="694" t="s">
        <v>1079</v>
      </c>
      <c r="J72" s="133"/>
    </row>
    <row r="73" spans="2:10" ht="30" x14ac:dyDescent="0.25">
      <c r="B73" s="358" t="s">
        <v>1139</v>
      </c>
      <c r="C73" s="695"/>
      <c r="D73" s="361">
        <f>'Capacity (local prices) 2nd'!E78+'Capacity (local prices) 2nd'!E79</f>
        <v>73353.131154347851</v>
      </c>
      <c r="E73" s="361">
        <f>'Capacity (local prices) 2nd'!F78+'Capacity (local prices) 2nd'!F79</f>
        <v>62964.718067274815</v>
      </c>
      <c r="F73" s="361">
        <f>'Capacity (local prices) 2nd'!G78+'Capacity (local prices) 2nd'!G79</f>
        <v>52194.013226543793</v>
      </c>
      <c r="G73" s="361">
        <f>'Capacity (local prices) 2nd'!H78+'Capacity (local prices) 2nd'!H79</f>
        <v>41496.471931622902</v>
      </c>
      <c r="H73" s="361">
        <f>'Capacity (local prices) 2nd'!I78+'Capacity (local prices) 2nd'!I79</f>
        <v>39580.736098813322</v>
      </c>
      <c r="I73" s="694" t="s">
        <v>1082</v>
      </c>
      <c r="J73" s="133"/>
    </row>
    <row r="74" spans="2:10" ht="30" x14ac:dyDescent="0.25">
      <c r="B74" s="358" t="s">
        <v>1134</v>
      </c>
      <c r="C74" s="693"/>
      <c r="D74" s="697">
        <f>'Capacity (local prices) 3rd'!E62+'Capacity (local prices) 3rd'!E64</f>
        <v>3172.1817965711498</v>
      </c>
      <c r="E74" s="697">
        <f>'Capacity (local prices) 3rd'!F62+'Capacity (local prices) 3rd'!F64</f>
        <v>6850.7913202509199</v>
      </c>
      <c r="F74" s="697">
        <f>'Capacity (local prices) 3rd'!G62+'Capacity (local prices) 3rd'!G64</f>
        <v>7179.7574327931216</v>
      </c>
      <c r="G74" s="697">
        <f>'Capacity (local prices) 3rd'!H62+'Capacity (local prices) 3rd'!H64</f>
        <v>7248.9832715978246</v>
      </c>
      <c r="H74" s="697">
        <f>'Capacity (local prices) 3rd'!I62+'Capacity (local prices) 3rd'!I64</f>
        <v>7318.8765726118118</v>
      </c>
      <c r="I74" s="694" t="s">
        <v>1079</v>
      </c>
      <c r="J74" s="133"/>
    </row>
    <row r="75" spans="2:10" ht="30" x14ac:dyDescent="0.25">
      <c r="B75" s="358" t="s">
        <v>1140</v>
      </c>
      <c r="C75" s="693"/>
      <c r="D75" s="697">
        <f>'Capacity (local prices) 3rd'!E63+'Capacity (local prices) 3rd'!E65</f>
        <v>9516.5453897134485</v>
      </c>
      <c r="E75" s="697">
        <f>'Capacity (local prices) 3rd'!F63+'Capacity (local prices) 3rd'!F65</f>
        <v>20552.373960752757</v>
      </c>
      <c r="F75" s="697">
        <f>'Capacity (local prices) 3rd'!G63+'Capacity (local prices) 3rd'!G65</f>
        <v>21539.272298379365</v>
      </c>
      <c r="G75" s="697">
        <f>'Capacity (local prices) 3rd'!H63+'Capacity (local prices) 3rd'!H65</f>
        <v>21746.949814793472</v>
      </c>
      <c r="H75" s="697">
        <f>'Capacity (local prices) 3rd'!I63+'Capacity (local prices) 3rd'!I65</f>
        <v>21956.629717835433</v>
      </c>
      <c r="I75" s="694" t="s">
        <v>1082</v>
      </c>
      <c r="J75" s="133"/>
    </row>
    <row r="76" spans="2:10" ht="30" x14ac:dyDescent="0.25">
      <c r="B76" s="358" t="s">
        <v>1142</v>
      </c>
      <c r="C76" s="693"/>
      <c r="D76" s="697">
        <f>'Capacity (local prices) 3rd'!E66</f>
        <v>7756.6363107938387</v>
      </c>
      <c r="E76" s="697">
        <f>'Capacity (local prices) 3rd'!F66</f>
        <v>5057.7948634328586</v>
      </c>
      <c r="F76" s="697">
        <f>'Capacity (local prices) 3rd'!G66</f>
        <v>5106.5611476981276</v>
      </c>
      <c r="G76" s="697">
        <f>'Capacity (local prices) 3rd'!H66</f>
        <v>5155.7976270870113</v>
      </c>
      <c r="H76" s="697">
        <f>'Capacity (local prices) 3rd'!I66</f>
        <v>5205.5088351303657</v>
      </c>
      <c r="I76" s="694" t="s">
        <v>1079</v>
      </c>
      <c r="J76" s="133"/>
    </row>
    <row r="77" spans="2:10" ht="30" x14ac:dyDescent="0.25">
      <c r="B77" s="358" t="s">
        <v>1143</v>
      </c>
      <c r="C77" s="693"/>
      <c r="D77" s="697">
        <f>'Capacity (local prices) 3rd'!E67+'Capacity (local prices) 3rd'!E68</f>
        <v>23269.908932381517</v>
      </c>
      <c r="E77" s="697">
        <f>'Capacity (local prices) 3rd'!F67+'Capacity (local prices) 3rd'!F68</f>
        <v>15173.384590298574</v>
      </c>
      <c r="F77" s="697">
        <f>'Capacity (local prices) 3rd'!G67+'Capacity (local prices) 3rd'!G68</f>
        <v>15319.683443094382</v>
      </c>
      <c r="G77" s="697">
        <f>'Capacity (local prices) 3rd'!H67+'Capacity (local prices) 3rd'!H68</f>
        <v>15467.392881261034</v>
      </c>
      <c r="H77" s="697">
        <f>'Capacity (local prices) 3rd'!I67+'Capacity (local prices) 3rd'!I68</f>
        <v>15616.526505391097</v>
      </c>
      <c r="I77" s="694" t="s">
        <v>1082</v>
      </c>
      <c r="J77" s="133"/>
    </row>
    <row r="78" spans="2:10" x14ac:dyDescent="0.25">
      <c r="B78" s="358" t="s">
        <v>1255</v>
      </c>
      <c r="C78" s="693"/>
      <c r="D78" s="697">
        <f>'Capacity (local prices) 3rd'!E69</f>
        <v>1734.7869199998479</v>
      </c>
      <c r="E78" s="697">
        <f>'Capacity (local prices) 3rd'!F69</f>
        <v>1751.5134014734288</v>
      </c>
      <c r="F78" s="697">
        <f>'Capacity (local prices) 3rd'!G69</f>
        <v>1768.4011564609268</v>
      </c>
      <c r="G78" s="697">
        <f>'Capacity (local prices) 3rd'!H69</f>
        <v>1785.4517399305118</v>
      </c>
      <c r="H78" s="697">
        <f>'Capacity (local prices) 3rd'!I69</f>
        <v>1802.6667218430584</v>
      </c>
      <c r="I78" s="694" t="s">
        <v>1085</v>
      </c>
      <c r="J78" s="133"/>
    </row>
    <row r="79" spans="2:10" x14ac:dyDescent="0.25">
      <c r="B79" s="358" t="s">
        <v>1141</v>
      </c>
      <c r="C79" s="693"/>
      <c r="D79" s="697">
        <f>'Capacity (local prices) 3rd'!E71+'Capacity (local prices) 3rd'!E70</f>
        <v>8237.960494416704</v>
      </c>
      <c r="E79" s="697">
        <f>'Capacity (local prices) 3rd'!F71+'Capacity (local prices) 3rd'!F70</f>
        <v>8317.3893233993203</v>
      </c>
      <c r="F79" s="697">
        <f>'Capacity (local prices) 3rd'!G71+'Capacity (local prices) 3rd'!G70</f>
        <v>8397.5839898580743</v>
      </c>
      <c r="G79" s="697">
        <f>'Capacity (local prices) 3rd'!H71+'Capacity (local prices) 3rd'!H70</f>
        <v>8478.5518778504575</v>
      </c>
      <c r="H79" s="697">
        <f>'Capacity (local prices) 3rd'!I71+'Capacity (local prices) 3rd'!I70</f>
        <v>8560.3004426296247</v>
      </c>
      <c r="I79" s="694" t="s">
        <v>1085</v>
      </c>
      <c r="J79" s="133"/>
    </row>
    <row r="80" spans="2:10" x14ac:dyDescent="0.25">
      <c r="B80" s="698"/>
      <c r="C80" s="699"/>
      <c r="D80" s="700">
        <f>SUM(D64:D79)</f>
        <v>187644.43181928436</v>
      </c>
      <c r="E80" s="700">
        <f>SUM(E64:E79)</f>
        <v>195342.75571919998</v>
      </c>
      <c r="F80" s="700">
        <f>SUM(F64:F79)</f>
        <v>203830.24243395543</v>
      </c>
      <c r="G80" s="700">
        <f>SUM(G64:G79)</f>
        <v>211158.28568258908</v>
      </c>
      <c r="H80" s="700">
        <f>SUM(H64:H79)</f>
        <v>216805.28449633898</v>
      </c>
      <c r="I80" s="701"/>
      <c r="J80" s="133"/>
    </row>
    <row r="81" spans="2:10" x14ac:dyDescent="0.25">
      <c r="B81" s="273"/>
      <c r="C81" s="273"/>
      <c r="D81" s="346"/>
      <c r="E81" s="346"/>
      <c r="F81" s="346"/>
      <c r="G81" s="346"/>
      <c r="H81" s="346"/>
      <c r="I81" s="133"/>
      <c r="J81" s="133"/>
    </row>
    <row r="82" spans="2:10" x14ac:dyDescent="0.25">
      <c r="B82" s="266" t="s">
        <v>177</v>
      </c>
      <c r="C82" s="264"/>
      <c r="D82" s="260"/>
      <c r="E82" s="260"/>
      <c r="F82" s="260"/>
      <c r="G82" s="260"/>
      <c r="H82" s="261"/>
      <c r="I82" s="133"/>
      <c r="J82" s="133"/>
    </row>
    <row r="83" spans="2:10" x14ac:dyDescent="0.25">
      <c r="B83" s="268" t="s">
        <v>1091</v>
      </c>
      <c r="C83" s="269"/>
      <c r="D83" s="182">
        <f>'Capacity (local prices) 2nd'!E42+'Capacity (local prices) 3rd'!E41</f>
        <v>13.034289076295977</v>
      </c>
      <c r="E83" s="182">
        <f>'Capacity (local prices) 2nd'!F42+'Capacity (local prices) 3rd'!F41</f>
        <v>26.002709631395078</v>
      </c>
      <c r="F83" s="182">
        <f>'Capacity (local prices) 2nd'!G42+'Capacity (local prices) 3rd'!G41</f>
        <v>39.19240000317734</v>
      </c>
      <c r="G83" s="182">
        <f>'Capacity (local prices) 2nd'!H42+'Capacity (local prices) 3rd'!H41</f>
        <v>52.509262830032867</v>
      </c>
      <c r="H83" s="182">
        <f>'Capacity (local prices) 2nd'!I42+'Capacity (local prices) 3rd'!I41</f>
        <v>65.954524284288595</v>
      </c>
      <c r="I83" s="133"/>
      <c r="J83" s="133"/>
    </row>
    <row r="84" spans="2:10" x14ac:dyDescent="0.25">
      <c r="B84" s="268" t="s">
        <v>1094</v>
      </c>
      <c r="C84" s="269"/>
      <c r="D84" s="182">
        <f>'Capacity (local prices) 2nd'!E52+'Capacity (local prices) 3rd'!E50</f>
        <v>-84.716683170865963</v>
      </c>
      <c r="E84" s="182">
        <f>'Capacity (local prices) 2nd'!F52+'Capacity (local prices) 3rd'!F50</f>
        <v>-226.38366861117265</v>
      </c>
      <c r="F84" s="182">
        <f>'Capacity (local prices) 2nd'!G52+'Capacity (local prices) 3rd'!G50</f>
        <v>-238.94824875388895</v>
      </c>
      <c r="G84" s="182">
        <f>'Capacity (local prices) 2nd'!H52+'Capacity (local prices) 3rd'!H50</f>
        <v>-355.00583845501569</v>
      </c>
      <c r="H84" s="182">
        <f>'Capacity (local prices) 2nd'!I52+'Capacity (local prices) 3rd'!I50</f>
        <v>-145.69953375492969</v>
      </c>
      <c r="I84" s="133"/>
      <c r="J84" s="133"/>
    </row>
    <row r="85" spans="2:10" x14ac:dyDescent="0.25">
      <c r="B85" s="268" t="s">
        <v>178</v>
      </c>
      <c r="C85" s="269"/>
      <c r="D85" s="182">
        <f>'Capacity (local prices) 2nd'!E60+'Capacity (local prices) 3rd'!E58</f>
        <v>3758.561300182897</v>
      </c>
      <c r="E85" s="182">
        <f>'Capacity (local prices) 2nd'!F60+'Capacity (local prices) 3rd'!F58</f>
        <v>11456.885200098506</v>
      </c>
      <c r="F85" s="182">
        <f>'Capacity (local prices) 2nd'!G60+'Capacity (local prices) 3rd'!G58</f>
        <v>19944.371914853989</v>
      </c>
      <c r="G85" s="182">
        <f>'Capacity (local prices) 2nd'!H60+'Capacity (local prices) 3rd'!H58</f>
        <v>27272.415163487552</v>
      </c>
      <c r="H85" s="182">
        <f>'Capacity (local prices) 2nd'!I60+'Capacity (local prices) 3rd'!I58</f>
        <v>32919.413977237542</v>
      </c>
      <c r="I85" s="133"/>
      <c r="J85" s="133"/>
    </row>
    <row r="86" spans="2:10" x14ac:dyDescent="0.25">
      <c r="B86" s="268" t="s">
        <v>179</v>
      </c>
      <c r="C86" s="269"/>
      <c r="D86" s="182">
        <f>'Capacity (local prices) 2nd'!E81+'Capacity (local prices) 3rd'!E73</f>
        <v>3758.5613001828897</v>
      </c>
      <c r="E86" s="182">
        <f>'Capacity (local prices) 2nd'!F81+'Capacity (local prices) 3rd'!F73</f>
        <v>11456.885200098484</v>
      </c>
      <c r="F86" s="182">
        <f>'Capacity (local prices) 2nd'!G81+'Capacity (local prices) 3rd'!G73</f>
        <v>19944.371914853982</v>
      </c>
      <c r="G86" s="182">
        <f>'Capacity (local prices) 2nd'!H81+'Capacity (local prices) 3rd'!H73</f>
        <v>27272.415163487538</v>
      </c>
      <c r="H86" s="182">
        <f>'Capacity (local prices) 2nd'!I81+'Capacity (local prices) 3rd'!I73</f>
        <v>32919.413977237513</v>
      </c>
      <c r="I86" s="133"/>
      <c r="J86" s="133"/>
    </row>
    <row r="87" spans="2:10" x14ac:dyDescent="0.25">
      <c r="I87" s="133"/>
      <c r="J87" s="133"/>
    </row>
    <row r="88" spans="2:10" x14ac:dyDescent="0.25">
      <c r="B88" s="266" t="s">
        <v>180</v>
      </c>
      <c r="C88" s="267"/>
      <c r="D88" s="260"/>
      <c r="E88" s="260"/>
      <c r="F88" s="260"/>
      <c r="G88" s="260"/>
      <c r="H88" s="261"/>
      <c r="I88" s="133"/>
      <c r="J88" s="133"/>
    </row>
    <row r="89" spans="2:10" x14ac:dyDescent="0.25">
      <c r="B89" s="268" t="s">
        <v>181</v>
      </c>
      <c r="C89" s="269"/>
      <c r="D89" s="182">
        <f>'Capacity (local prices) 2nd'!E92+'Capacity (local prices) 3rd'!E83</f>
        <v>1007.0582988682409</v>
      </c>
      <c r="E89" s="182">
        <f>'Capacity (local prices) 2nd'!F92+'Capacity (local prices) 3rd'!F83</f>
        <v>5258.1027116606319</v>
      </c>
      <c r="F89" s="182">
        <f>'Capacity (local prices) 2nd'!G92+'Capacity (local prices) 3rd'!G83</f>
        <v>10984.625819241604</v>
      </c>
      <c r="G89" s="182">
        <f>'Capacity (local prices) 2nd'!H92+'Capacity (local prices) 3rd'!H83</f>
        <v>16445.360058081038</v>
      </c>
      <c r="H89" s="182">
        <f>'Capacity (local prices) 2nd'!I92+'Capacity (local prices) 3rd'!I83</f>
        <v>19509.89270124277</v>
      </c>
      <c r="I89" s="133"/>
      <c r="J89" s="133"/>
    </row>
    <row r="90" spans="2:10" x14ac:dyDescent="0.25">
      <c r="B90" s="268" t="s">
        <v>182</v>
      </c>
      <c r="C90" s="269"/>
      <c r="D90" s="182">
        <f>'Capacity (local prices) 2nd'!E102+'Capacity (local prices) 3rd'!E92</f>
        <v>1245.463065334945</v>
      </c>
      <c r="E90" s="182">
        <f>'Capacity (local prices) 2nd'!F102+'Capacity (local prices) 3rd'!F92</f>
        <v>5469.0120553612287</v>
      </c>
      <c r="F90" s="182">
        <f>'Capacity (local prices) 2nd'!G102+'Capacity (local prices) 3rd'!G92</f>
        <v>10924.015050032884</v>
      </c>
      <c r="G90" s="182">
        <f>'Capacity (local prices) 2nd'!H102+'Capacity (local prices) 3rd'!H92</f>
        <v>16036.869089883576</v>
      </c>
      <c r="H90" s="182">
        <f>'Capacity (local prices) 2nd'!I102+'Capacity (local prices) 3rd'!I92</f>
        <v>19071.327817676669</v>
      </c>
      <c r="I90" s="133"/>
      <c r="J90" s="133"/>
    </row>
    <row r="91" spans="2:10" x14ac:dyDescent="0.25">
      <c r="B91" s="268" t="s">
        <v>183</v>
      </c>
      <c r="C91" s="269"/>
      <c r="D91" s="182">
        <f>'Capacity (local prices) 2nd'!E112+'Capacity (local prices) 3rd'!E101</f>
        <v>1245.463065334945</v>
      </c>
      <c r="E91" s="182">
        <f>'Capacity (local prices) 2nd'!F112+'Capacity (local prices) 3rd'!F101</f>
        <v>5469.0120553612287</v>
      </c>
      <c r="F91" s="182">
        <f>'Capacity (local prices) 2nd'!G112+'Capacity (local prices) 3rd'!G101</f>
        <v>10924.015050032884</v>
      </c>
      <c r="G91" s="182">
        <f>'Capacity (local prices) 2nd'!H112+'Capacity (local prices) 3rd'!H101</f>
        <v>16036.869089883576</v>
      </c>
      <c r="H91" s="182">
        <f>'Capacity (local prices) 2nd'!I112+'Capacity (local prices) 3rd'!I101</f>
        <v>19071.327817676669</v>
      </c>
      <c r="I91" s="133"/>
      <c r="J91" s="133"/>
    </row>
    <row r="92" spans="2:10" x14ac:dyDescent="0.25">
      <c r="I92" s="133"/>
      <c r="J92" s="133"/>
    </row>
    <row r="93" spans="2:10" x14ac:dyDescent="0.25">
      <c r="B93" s="266" t="s">
        <v>1314</v>
      </c>
      <c r="C93" s="267"/>
      <c r="D93" s="260"/>
      <c r="E93" s="260"/>
      <c r="F93" s="260"/>
      <c r="G93" s="260"/>
      <c r="H93" s="261"/>
      <c r="I93" s="133"/>
      <c r="J93" s="133"/>
    </row>
    <row r="94" spans="2:10" hidden="1" x14ac:dyDescent="0.25">
      <c r="B94" s="353" t="s">
        <v>184</v>
      </c>
      <c r="C94" s="274"/>
      <c r="D94" s="391" t="e">
        <f>'Capacity (local prices) 2nd'!E121</f>
        <v>#REF!</v>
      </c>
      <c r="E94" s="182" t="e">
        <f>'Capacity (local prices) 2nd'!F121</f>
        <v>#REF!</v>
      </c>
      <c r="F94" s="182" t="e">
        <f>'Capacity (local prices) 2nd'!G121</f>
        <v>#REF!</v>
      </c>
      <c r="G94" s="182" t="e">
        <f>'Capacity (local prices) 2nd'!H121</f>
        <v>#REF!</v>
      </c>
      <c r="H94" s="182" t="e">
        <f>'Capacity (local prices) 2nd'!I121</f>
        <v>#REF!</v>
      </c>
      <c r="I94" s="133"/>
      <c r="J94" s="133"/>
    </row>
    <row r="95" spans="2:10" hidden="1" x14ac:dyDescent="0.25">
      <c r="B95" s="353" t="s">
        <v>185</v>
      </c>
      <c r="C95" s="274"/>
      <c r="D95" s="391" t="e">
        <f>'Capacity (local prices) 2nd'!E129</f>
        <v>#REF!</v>
      </c>
      <c r="E95" s="182" t="e">
        <f>'Capacity (local prices) 2nd'!F129</f>
        <v>#REF!</v>
      </c>
      <c r="F95" s="182" t="e">
        <f>'Capacity (local prices) 2nd'!G129</f>
        <v>#REF!</v>
      </c>
      <c r="G95" s="182" t="e">
        <f>'Capacity (local prices) 2nd'!H129</f>
        <v>#REF!</v>
      </c>
      <c r="H95" s="182" t="e">
        <f>'Capacity (local prices) 2nd'!I129</f>
        <v>#REF!</v>
      </c>
      <c r="I95" s="133"/>
    </row>
    <row r="96" spans="2:10" ht="14.45" hidden="1" customHeight="1" x14ac:dyDescent="0.25">
      <c r="B96" s="353" t="s">
        <v>186</v>
      </c>
      <c r="C96" s="274"/>
      <c r="D96" s="391" t="e">
        <f>'Capacity (local prices) 2nd'!E137</f>
        <v>#REF!</v>
      </c>
      <c r="E96" s="182" t="e">
        <f>'Capacity (local prices) 2nd'!F137</f>
        <v>#REF!</v>
      </c>
      <c r="F96" s="182" t="e">
        <f>'Capacity (local prices) 2nd'!G137</f>
        <v>#REF!</v>
      </c>
      <c r="G96" s="182" t="e">
        <f>'Capacity (local prices) 2nd'!H137</f>
        <v>#REF!</v>
      </c>
      <c r="H96" s="182" t="e">
        <f>'Capacity (local prices) 2nd'!I137</f>
        <v>#REF!</v>
      </c>
      <c r="I96" s="133"/>
      <c r="J96" s="133"/>
    </row>
    <row r="97" spans="2:10" ht="14.45" hidden="1" customHeight="1" x14ac:dyDescent="0.25">
      <c r="B97" s="353" t="s">
        <v>187</v>
      </c>
      <c r="C97" s="274"/>
      <c r="D97" s="391" t="e">
        <f>'Capacity (local prices) 2nd'!E145</f>
        <v>#REF!</v>
      </c>
      <c r="E97" s="182" t="e">
        <f>'Capacity (local prices) 2nd'!F145</f>
        <v>#REF!</v>
      </c>
      <c r="F97" s="182" t="e">
        <f>'Capacity (local prices) 2nd'!G145</f>
        <v>#REF!</v>
      </c>
      <c r="G97" s="182" t="e">
        <f>'Capacity (local prices) 2nd'!H145</f>
        <v>#REF!</v>
      </c>
      <c r="H97" s="182" t="e">
        <f>'Capacity (local prices) 2nd'!I145</f>
        <v>#REF!</v>
      </c>
      <c r="I97" s="133"/>
      <c r="J97" s="133"/>
    </row>
    <row r="98" spans="2:10" x14ac:dyDescent="0.25">
      <c r="B98" s="353" t="s">
        <v>188</v>
      </c>
      <c r="C98" s="274"/>
      <c r="D98" s="391">
        <f>'Capacity (local prices) 2nd'!E155+'Capacity (local prices) 3rd'!E143</f>
        <v>0</v>
      </c>
      <c r="E98" s="391">
        <f>'Capacity (local prices) 2nd'!F155+'Capacity (local prices) 3rd'!F143</f>
        <v>0</v>
      </c>
      <c r="F98" s="391">
        <f>'Capacity (local prices) 2nd'!G155+'Capacity (local prices) 3rd'!G143</f>
        <v>0</v>
      </c>
      <c r="G98" s="391">
        <f>'Capacity (local prices) 2nd'!H155+'Capacity (local prices) 3rd'!H143</f>
        <v>0</v>
      </c>
      <c r="H98" s="391">
        <f>'Capacity (local prices) 2nd'!I155+'Capacity (local prices) 3rd'!I143</f>
        <v>0</v>
      </c>
      <c r="I98" s="133"/>
      <c r="J98" s="133"/>
    </row>
    <row r="99" spans="2:10" x14ac:dyDescent="0.25">
      <c r="I99" s="133"/>
      <c r="J99" s="133"/>
    </row>
    <row r="100" spans="2:10" x14ac:dyDescent="0.25">
      <c r="B100" s="266" t="s">
        <v>189</v>
      </c>
      <c r="C100" s="267"/>
      <c r="D100" s="260"/>
      <c r="E100" s="260"/>
      <c r="F100" s="260"/>
      <c r="G100" s="260"/>
      <c r="H100" s="261"/>
      <c r="I100" s="133"/>
      <c r="J100" s="133"/>
    </row>
    <row r="101" spans="2:10" x14ac:dyDescent="0.25">
      <c r="B101" s="353" t="s">
        <v>190</v>
      </c>
      <c r="C101" s="274"/>
      <c r="D101" s="391">
        <f>'Capacity (local prices) 2nd'!E166+'Capacity (local prices) 3rd'!E153</f>
        <v>0</v>
      </c>
      <c r="E101" s="391">
        <f>'Capacity (local prices) 2nd'!F166+'Capacity (local prices) 3rd'!F153</f>
        <v>0</v>
      </c>
      <c r="F101" s="391">
        <f>'Capacity (local prices) 2nd'!G166+'Capacity (local prices) 3rd'!G153</f>
        <v>0</v>
      </c>
      <c r="G101" s="391">
        <f>'Capacity (local prices) 2nd'!H166+'Capacity (local prices) 3rd'!H153</f>
        <v>0</v>
      </c>
      <c r="H101" s="391">
        <f>'Capacity (local prices) 2nd'!I166+'Capacity (local prices) 3rd'!I153</f>
        <v>0</v>
      </c>
      <c r="I101" s="133"/>
      <c r="J101" s="133"/>
    </row>
    <row r="102" spans="2:10" x14ac:dyDescent="0.25">
      <c r="I102" s="133"/>
      <c r="J102" s="133"/>
    </row>
    <row r="103" spans="2:10" x14ac:dyDescent="0.25">
      <c r="B103" s="266" t="s">
        <v>191</v>
      </c>
      <c r="C103" s="267"/>
      <c r="D103" s="260"/>
      <c r="E103" s="260"/>
      <c r="F103" s="260"/>
      <c r="G103" s="260"/>
      <c r="H103" s="261"/>
      <c r="I103" s="133"/>
      <c r="J103" s="133"/>
    </row>
    <row r="104" spans="2:10" x14ac:dyDescent="0.25">
      <c r="B104" s="268" t="s">
        <v>1144</v>
      </c>
      <c r="C104" s="269"/>
      <c r="D104" s="391">
        <f>'Capacity (local prices) 2nd'!E177+'Capacity (local prices) 3rd'!E163</f>
        <v>427.00331013944742</v>
      </c>
      <c r="E104" s="391">
        <f>'Capacity (local prices) 2nd'!F177+'Capacity (local prices) 3rd'!F163</f>
        <v>493.57814570773189</v>
      </c>
      <c r="F104" s="391">
        <f>'Capacity (local prices) 2nd'!G177+'Capacity (local prices) 3rd'!G163</f>
        <v>192.79305150279106</v>
      </c>
      <c r="G104" s="391">
        <f>'Capacity (local prices) 2nd'!H177+'Capacity (local prices) 3rd'!H163</f>
        <v>-256.24339450489788</v>
      </c>
      <c r="H104" s="391">
        <f>'Capacity (local prices) 2nd'!I177+'Capacity (local prices) 3rd'!I163</f>
        <v>-719.72371426395694</v>
      </c>
      <c r="I104" s="133"/>
      <c r="J104" s="133"/>
    </row>
    <row r="105" spans="2:10" x14ac:dyDescent="0.25">
      <c r="B105" s="268" t="s">
        <v>1145</v>
      </c>
      <c r="C105" s="269"/>
      <c r="D105" s="391">
        <f>'Capacity (local prices) 2nd'!E187+'Capacity (local prices) 3rd'!E172</f>
        <v>678.6841958070363</v>
      </c>
      <c r="E105" s="391">
        <f>'Capacity (local prices) 2nd'!F187+'Capacity (local prices) 3rd'!F172</f>
        <v>718.35657221761721</v>
      </c>
      <c r="F105" s="391">
        <f>'Capacity (local prices) 2nd'!G187+'Capacity (local prices) 3rd'!G172</f>
        <v>409.62276563001433</v>
      </c>
      <c r="G105" s="391">
        <f>'Capacity (local prices) 2nd'!H187+'Capacity (local prices) 3rd'!H172</f>
        <v>-144.66658297210961</v>
      </c>
      <c r="H105" s="391">
        <f>'Capacity (local prices) 2nd'!I187+'Capacity (local prices) 3rd'!I172</f>
        <v>-602.98867490053817</v>
      </c>
      <c r="I105" s="133"/>
      <c r="J105" s="133"/>
    </row>
    <row r="106" spans="2:10" x14ac:dyDescent="0.25">
      <c r="B106" s="268" t="s">
        <v>1146</v>
      </c>
      <c r="C106" s="269"/>
      <c r="D106" s="391">
        <f>'Capacity (local prices) 2nd'!E197+'Capacity (local prices) 3rd'!E181</f>
        <v>1559.5672956435847</v>
      </c>
      <c r="E106" s="391">
        <f>'Capacity (local prices) 2nd'!F197+'Capacity (local prices) 3rd'!F181</f>
        <v>1535.4314382583616</v>
      </c>
      <c r="F106" s="391">
        <f>'Capacity (local prices) 2nd'!G197+'Capacity (local prices) 3rd'!G181</f>
        <v>1229.5201440429828</v>
      </c>
      <c r="G106" s="391">
        <f>'Capacity (local prices) 2nd'!H197+'Capacity (local prices) 3rd'!H181</f>
        <v>766.28160849830783</v>
      </c>
      <c r="H106" s="391">
        <f>'Capacity (local prices) 2nd'!I197+'Capacity (local prices) 3rd'!I181</f>
        <v>361.381566835169</v>
      </c>
      <c r="I106" s="133"/>
      <c r="J106" s="133"/>
    </row>
    <row r="107" spans="2:10" x14ac:dyDescent="0.25">
      <c r="B107" s="268" t="s">
        <v>1147</v>
      </c>
      <c r="C107" s="269"/>
      <c r="D107" s="391">
        <f>'Capacity (local prices) 2nd'!E207+'Capacity (local prices) 3rd'!E190</f>
        <v>1433.726852809792</v>
      </c>
      <c r="E107" s="391">
        <f>'Capacity (local prices) 2nd'!F207+'Capacity (local prices) 3rd'!F190</f>
        <v>1418.7064573953976</v>
      </c>
      <c r="F107" s="391">
        <f>'Capacity (local prices) 2nd'!G207+'Capacity (local prices) 3rd'!G190</f>
        <v>1112.3919471268382</v>
      </c>
      <c r="G107" s="391">
        <f>'Capacity (local prices) 2nd'!H207+'Capacity (local prices) 3rd'!H190</f>
        <v>636.14615257396144</v>
      </c>
      <c r="H107" s="391">
        <f>'Capacity (local prices) 2nd'!I207+'Capacity (local prices) 3rd'!I190</f>
        <v>223.61438944435031</v>
      </c>
      <c r="I107" s="133"/>
      <c r="J107" s="133"/>
    </row>
    <row r="108" spans="2:10" x14ac:dyDescent="0.25">
      <c r="I108" s="133"/>
      <c r="J108" s="133"/>
    </row>
    <row r="109" spans="2:10" x14ac:dyDescent="0.25">
      <c r="B109" s="266" t="s">
        <v>192</v>
      </c>
      <c r="C109" s="264"/>
      <c r="D109" s="260"/>
      <c r="E109" s="260"/>
      <c r="F109" s="260"/>
      <c r="G109" s="260"/>
      <c r="H109" s="261"/>
      <c r="I109" s="133"/>
      <c r="J109" s="133"/>
    </row>
    <row r="110" spans="2:10" x14ac:dyDescent="0.25">
      <c r="B110" s="268" t="s">
        <v>193</v>
      </c>
      <c r="C110" s="269"/>
      <c r="D110" s="391">
        <f>'Capacity (local prices) 2nd'!E230+'Capacity (local prices) 3rd'!E213</f>
        <v>315.00421904629593</v>
      </c>
      <c r="E110" s="391">
        <f>'Capacity (local prices) 2nd'!F230+'Capacity (local prices) 3rd'!F213</f>
        <v>669.75442076451486</v>
      </c>
      <c r="F110" s="391">
        <f>'Capacity (local prices) 2nd'!G230+'Capacity (local prices) 3rd'!G213</f>
        <v>842.62508736345285</v>
      </c>
      <c r="G110" s="391">
        <f>'Capacity (local prices) 2nd'!H230+'Capacity (local prices) 3rd'!H213</f>
        <v>1018.4802520809385</v>
      </c>
      <c r="H110" s="391">
        <f>'Capacity (local prices) 2nd'!I230+'Capacity (local prices) 3rd'!I213</f>
        <v>1058.0467291562045</v>
      </c>
      <c r="I110" s="133"/>
      <c r="J110" s="133"/>
    </row>
    <row r="111" spans="2:10" x14ac:dyDescent="0.25">
      <c r="B111" s="273"/>
      <c r="C111" s="273"/>
      <c r="D111" s="259"/>
      <c r="E111" s="259"/>
      <c r="F111" s="259"/>
      <c r="G111" s="259"/>
      <c r="H111" s="259"/>
      <c r="I111" s="133"/>
      <c r="J111" s="133"/>
    </row>
    <row r="113" spans="4:14" x14ac:dyDescent="0.25">
      <c r="D113" s="802"/>
      <c r="E113" s="803"/>
      <c r="F113" s="803"/>
      <c r="G113" s="803"/>
      <c r="H113" s="803"/>
      <c r="I113" s="803"/>
      <c r="J113" s="803"/>
      <c r="K113" s="803"/>
      <c r="L113" s="803"/>
      <c r="M113" s="803"/>
      <c r="N113" s="803"/>
    </row>
    <row r="114" spans="4:14" x14ac:dyDescent="0.25">
      <c r="D114" s="803"/>
      <c r="E114" s="803"/>
      <c r="F114" s="803"/>
      <c r="G114" s="803"/>
      <c r="H114" s="803"/>
      <c r="I114" s="803"/>
      <c r="J114" s="803"/>
      <c r="K114" s="803"/>
      <c r="L114" s="803"/>
      <c r="M114" s="803"/>
      <c r="N114" s="803"/>
    </row>
    <row r="115" spans="4:14" x14ac:dyDescent="0.25">
      <c r="D115" s="802"/>
      <c r="E115" s="803"/>
      <c r="F115" s="803"/>
      <c r="G115" s="803"/>
      <c r="H115" s="803"/>
      <c r="I115" s="803"/>
      <c r="J115" s="803"/>
      <c r="K115" s="803"/>
      <c r="L115" s="803"/>
      <c r="M115" s="803"/>
      <c r="N115" s="803"/>
    </row>
  </sheetData>
  <sheetProtection algorithmName="SHA-512" hashValue="tYKKosfHgzI/jQGYwQHMAxbO/NlNH8/6p8kpEEne8BO5msRjWz7kCbTXSMwpIIKK2F06kXASuh54i5/WWjQz3Q==" saltValue="0uwDNpm6wDddk9af1G5IPA==" spinCount="100000" sheet="1" objects="1" scenarios="1"/>
  <mergeCells count="2">
    <mergeCell ref="D113:N114"/>
    <mergeCell ref="D115:N115"/>
  </mergeCells>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912E6311-74C6-41EC-8C65-686A8A45E1BA}">
          <x14:formula1>
            <xm:f>'Population selection'!$S$5:$S$6</xm:f>
          </x14:formula1>
          <xm:sqref>B46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B1E1-1201-4B1E-9557-5B35097DB6FC}">
  <sheetPr>
    <tabColor theme="8" tint="-0.499984740745262"/>
    <pageSetUpPr fitToPage="1"/>
  </sheetPr>
  <dimension ref="B1:AH56"/>
  <sheetViews>
    <sheetView showGridLines="0" zoomScale="80" zoomScaleNormal="80" zoomScaleSheetLayoutView="80" workbookViewId="0">
      <selection activeCell="D39" sqref="D39"/>
    </sheetView>
  </sheetViews>
  <sheetFormatPr defaultColWidth="8.85546875" defaultRowHeight="15" x14ac:dyDescent="0.25"/>
  <cols>
    <col min="1" max="1" width="3.5703125" customWidth="1"/>
    <col min="2" max="2" width="76.85546875" style="1" customWidth="1"/>
    <col min="3" max="3" width="11.5703125" customWidth="1"/>
    <col min="4" max="8" width="11.710937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785" t="str">
        <f>'Unit costs'!B1</f>
        <v>Selinexor with bortezomib and dexamethasone for previously treated multiple myeloma 
(TA974)</v>
      </c>
      <c r="C1" s="127"/>
      <c r="D1" s="127"/>
      <c r="E1" s="127"/>
      <c r="F1" s="127"/>
      <c r="G1" s="127"/>
      <c r="H1" s="127"/>
      <c r="I1" s="127"/>
      <c r="J1" s="127"/>
      <c r="K1" s="127"/>
      <c r="L1" s="127"/>
      <c r="M1" s="127"/>
      <c r="N1" s="127"/>
      <c r="O1" s="127"/>
      <c r="P1" s="127"/>
      <c r="Q1" s="127"/>
      <c r="R1" s="127"/>
      <c r="S1" s="127"/>
      <c r="T1" s="127"/>
    </row>
    <row r="2" spans="2:34" ht="38.1" customHeight="1" x14ac:dyDescent="0.25">
      <c r="B2" s="389" t="s">
        <v>740</v>
      </c>
      <c r="C2" s="127" t="s">
        <v>108</v>
      </c>
      <c r="D2" s="127" t="s">
        <v>108</v>
      </c>
      <c r="E2" s="127" t="s">
        <v>108</v>
      </c>
      <c r="F2" s="127" t="s">
        <v>108</v>
      </c>
      <c r="G2" s="127" t="s">
        <v>108</v>
      </c>
      <c r="H2" s="127"/>
      <c r="I2" s="127" t="s">
        <v>108</v>
      </c>
      <c r="J2" s="127" t="s">
        <v>108</v>
      </c>
      <c r="K2" s="133"/>
      <c r="L2" s="127"/>
      <c r="M2" s="127"/>
      <c r="N2" s="127"/>
      <c r="O2" s="127"/>
      <c r="P2" s="127"/>
      <c r="Q2" s="127"/>
      <c r="R2" s="127"/>
      <c r="S2" s="127"/>
      <c r="T2" s="127"/>
    </row>
    <row r="3" spans="2:34" x14ac:dyDescent="0.25">
      <c r="B3" s="130" t="s">
        <v>108</v>
      </c>
      <c r="C3" s="133" t="s">
        <v>108</v>
      </c>
      <c r="D3" s="133" t="s">
        <v>108</v>
      </c>
      <c r="E3" s="133" t="s">
        <v>108</v>
      </c>
      <c r="F3" s="133" t="s">
        <v>108</v>
      </c>
      <c r="G3" s="133" t="s">
        <v>108</v>
      </c>
      <c r="H3" s="133" t="s">
        <v>108</v>
      </c>
      <c r="I3" s="133" t="s">
        <v>108</v>
      </c>
      <c r="J3" s="133" t="s">
        <v>108</v>
      </c>
      <c r="K3" s="133"/>
      <c r="L3" s="133"/>
      <c r="M3" s="133"/>
      <c r="N3" s="133"/>
      <c r="O3" s="133"/>
      <c r="P3" s="133"/>
      <c r="Q3" s="133"/>
      <c r="R3" s="133"/>
      <c r="S3" s="133"/>
      <c r="T3" s="133"/>
    </row>
    <row r="4" spans="2:34" s="245" customFormat="1" x14ac:dyDescent="0.25">
      <c r="B4" s="250" t="s">
        <v>741</v>
      </c>
      <c r="F4" s="133"/>
      <c r="G4" s="133"/>
      <c r="H4" s="133"/>
      <c r="I4" s="133"/>
      <c r="J4" s="133" t="s">
        <v>108</v>
      </c>
      <c r="K4" s="133"/>
      <c r="L4" s="133"/>
      <c r="M4" s="133"/>
      <c r="N4" s="133"/>
      <c r="O4" s="133"/>
      <c r="P4" s="133"/>
      <c r="Q4" s="133"/>
      <c r="R4" s="133"/>
      <c r="S4" s="133"/>
      <c r="T4" s="133"/>
    </row>
    <row r="5" spans="2:34" s="245" customFormat="1" x14ac:dyDescent="0.25">
      <c r="B5" s="250" t="s">
        <v>742</v>
      </c>
      <c r="F5" s="133"/>
      <c r="G5" s="133"/>
      <c r="H5" s="133"/>
      <c r="I5" s="133"/>
      <c r="J5" s="133"/>
      <c r="K5" s="133"/>
      <c r="L5" s="133"/>
      <c r="M5" s="133"/>
      <c r="N5" s="133"/>
      <c r="O5" s="133"/>
      <c r="P5" s="133"/>
      <c r="Q5" s="133"/>
      <c r="R5" s="133"/>
      <c r="S5" s="133"/>
      <c r="T5" s="133"/>
    </row>
    <row r="6" spans="2:34" s="245" customFormat="1" x14ac:dyDescent="0.25">
      <c r="B6" s="250"/>
      <c r="C6" s="133" t="s">
        <v>108</v>
      </c>
      <c r="D6" s="133" t="s">
        <v>108</v>
      </c>
      <c r="E6" s="133"/>
      <c r="F6" s="133"/>
      <c r="G6" s="133"/>
      <c r="H6" s="133"/>
      <c r="I6" s="133" t="s">
        <v>108</v>
      </c>
      <c r="J6" s="133" t="s">
        <v>108</v>
      </c>
      <c r="K6" s="133"/>
      <c r="L6" s="133"/>
      <c r="M6" s="133"/>
      <c r="N6" s="133"/>
      <c r="O6" s="133"/>
      <c r="P6" s="133"/>
      <c r="Q6" s="133"/>
      <c r="R6" s="133"/>
      <c r="S6" s="133"/>
      <c r="T6" s="133"/>
    </row>
    <row r="7" spans="2:34" s="245" customFormat="1" ht="45" x14ac:dyDescent="0.25">
      <c r="B7" s="263" t="s">
        <v>1285</v>
      </c>
      <c r="C7" s="275"/>
      <c r="D7" s="434" t="s">
        <v>743</v>
      </c>
      <c r="E7" s="276" t="s">
        <v>51</v>
      </c>
      <c r="F7" s="276" t="s">
        <v>52</v>
      </c>
      <c r="G7" s="277" t="s">
        <v>744</v>
      </c>
      <c r="H7" s="277" t="s">
        <v>745</v>
      </c>
      <c r="I7" s="276" t="s">
        <v>746</v>
      </c>
      <c r="K7" s="133"/>
      <c r="L7" s="133"/>
      <c r="N7" s="133"/>
      <c r="O7" s="133"/>
      <c r="P7" s="133"/>
      <c r="Q7" s="133"/>
      <c r="R7" s="133"/>
      <c r="S7" s="133"/>
      <c r="T7" s="133"/>
    </row>
    <row r="8" spans="2:34" s="148" customFormat="1" x14ac:dyDescent="0.25">
      <c r="B8" s="228" t="s">
        <v>1243</v>
      </c>
      <c r="C8" s="183"/>
      <c r="D8" s="182">
        <f>'Inputs and eligible population'!F48</f>
        <v>2142.9168206725581</v>
      </c>
      <c r="E8" s="182">
        <f>'Inputs and eligible population'!G48</f>
        <v>2163.5784120686976</v>
      </c>
      <c r="F8" s="182">
        <f>'Inputs and eligible population'!H48</f>
        <v>2184.4392185509769</v>
      </c>
      <c r="G8" s="182">
        <f>'Inputs and eligible population'!I48</f>
        <v>2205.5011609129006</v>
      </c>
      <c r="H8" s="182">
        <f>'Inputs and eligible population'!J48</f>
        <v>2226.7661784678944</v>
      </c>
      <c r="I8" s="182">
        <f>'Inputs and eligible population'!K48</f>
        <v>2248.2362292278704</v>
      </c>
      <c r="K8" s="133"/>
      <c r="L8" s="133"/>
    </row>
    <row r="9" spans="2:34" s="148" customFormat="1" x14ac:dyDescent="0.25">
      <c r="B9" s="228" t="s">
        <v>1244</v>
      </c>
      <c r="C9" s="183"/>
      <c r="D9" s="182">
        <f>'Inputs and eligible population'!F49</f>
        <v>1882.9810103249768</v>
      </c>
      <c r="E9" s="182">
        <f>'Inputs and eligible population'!G49</f>
        <v>1901.1363506847645</v>
      </c>
      <c r="F9" s="182">
        <f>'Inputs and eligible population'!H49</f>
        <v>1919.4667413407433</v>
      </c>
      <c r="G9" s="182">
        <f>'Inputs and eligible population'!I49</f>
        <v>1937.9738700941659</v>
      </c>
      <c r="H9" s="182">
        <f>'Inputs and eligible population'!J49</f>
        <v>1956.6594410197388</v>
      </c>
      <c r="I9" s="182">
        <f>'Inputs and eligible population'!K49</f>
        <v>1975.5251746225297</v>
      </c>
      <c r="K9" s="133"/>
      <c r="L9" s="133"/>
    </row>
    <row r="10" spans="2:34" s="245" customFormat="1" x14ac:dyDescent="0.25">
      <c r="B10" s="247" t="s">
        <v>108</v>
      </c>
      <c r="C10" s="133" t="s">
        <v>108</v>
      </c>
      <c r="D10" s="133" t="s">
        <v>108</v>
      </c>
      <c r="E10" s="133" t="s">
        <v>108</v>
      </c>
      <c r="F10" s="133" t="s">
        <v>108</v>
      </c>
      <c r="G10" s="133" t="s">
        <v>108</v>
      </c>
      <c r="H10" s="133"/>
      <c r="I10" s="133"/>
      <c r="K10" s="133"/>
      <c r="L10" s="133"/>
      <c r="N10" s="133"/>
      <c r="O10" s="133"/>
      <c r="P10" s="133"/>
      <c r="Q10" s="133"/>
      <c r="R10" s="133"/>
      <c r="S10" s="133"/>
      <c r="T10" s="133"/>
      <c r="AD10" s="278"/>
      <c r="AE10" s="278"/>
      <c r="AF10" s="278"/>
      <c r="AG10" s="278"/>
      <c r="AH10" s="278"/>
    </row>
    <row r="11" spans="2:34" s="245" customFormat="1" x14ac:dyDescent="0.25">
      <c r="B11" s="349" t="s">
        <v>1148</v>
      </c>
      <c r="C11" s="350"/>
      <c r="D11" s="351"/>
      <c r="E11" s="351"/>
      <c r="F11" s="351"/>
      <c r="G11" s="351"/>
      <c r="H11" s="351"/>
      <c r="I11" s="352"/>
      <c r="K11" s="133"/>
      <c r="L11" s="133"/>
      <c r="N11" s="133"/>
      <c r="O11" s="133"/>
      <c r="P11" s="133"/>
      <c r="Q11" s="133"/>
      <c r="R11" s="133"/>
      <c r="S11" s="133"/>
      <c r="T11" s="133"/>
    </row>
    <row r="12" spans="2:34" s="245" customFormat="1" x14ac:dyDescent="0.25">
      <c r="B12" s="247"/>
      <c r="C12" s="133"/>
      <c r="D12" s="133"/>
      <c r="E12" s="133"/>
      <c r="F12" s="133"/>
      <c r="G12" s="133"/>
      <c r="H12" s="133"/>
      <c r="I12" s="133"/>
      <c r="N12" s="133"/>
      <c r="O12" s="133"/>
      <c r="P12" s="133"/>
      <c r="Q12" s="133"/>
      <c r="R12" s="133"/>
      <c r="S12" s="133"/>
      <c r="T12" s="133"/>
      <c r="AD12" s="278"/>
      <c r="AE12" s="278"/>
      <c r="AF12" s="278"/>
      <c r="AG12" s="278"/>
      <c r="AH12" s="278"/>
    </row>
    <row r="13" spans="2:34" s="245" customFormat="1" x14ac:dyDescent="0.25">
      <c r="B13" s="285" t="s">
        <v>1149</v>
      </c>
      <c r="C13" s="279"/>
      <c r="D13" s="184"/>
      <c r="E13" s="184"/>
      <c r="F13" s="184"/>
      <c r="G13" s="184"/>
      <c r="H13" s="184"/>
      <c r="I13" s="185"/>
      <c r="N13" s="133"/>
      <c r="O13" s="133"/>
      <c r="P13" s="133"/>
      <c r="Q13" s="133"/>
      <c r="R13" s="133"/>
      <c r="S13" s="133"/>
      <c r="T13" s="133"/>
    </row>
    <row r="14" spans="2:34" s="245" customFormat="1" x14ac:dyDescent="0.25">
      <c r="B14" s="358" t="str">
        <f>'Inputs and eligible population'!C70</f>
        <v>People receiving selinexor with bortezomib and dexamethasone (option when refractory to daratumumab and lenalidomide)</v>
      </c>
      <c r="C14" s="359"/>
      <c r="D14" s="280">
        <f>D$8*'Inputs and eligible population'!E70</f>
        <v>0</v>
      </c>
      <c r="E14" s="280">
        <f>E$8*'Inputs and eligible population'!F70</f>
        <v>119.13978040025866</v>
      </c>
      <c r="F14" s="280">
        <f>F$8*'Inputs and eligible population'!G70</f>
        <v>262.13270622611719</v>
      </c>
      <c r="G14" s="280">
        <f>G$8*'Inputs and eligible population'!H70</f>
        <v>396.99020896432211</v>
      </c>
      <c r="H14" s="280">
        <f>H$8*'Inputs and eligible population'!I70</f>
        <v>534.42388283229468</v>
      </c>
      <c r="I14" s="280">
        <f>I$8*'Inputs and eligible population'!J70</f>
        <v>539.57669501468888</v>
      </c>
      <c r="N14" s="133"/>
      <c r="O14" s="133"/>
      <c r="P14" s="133"/>
      <c r="Q14" s="133"/>
      <c r="R14" s="133"/>
      <c r="S14" s="133"/>
      <c r="T14" s="133"/>
      <c r="V14" s="278"/>
      <c r="W14" s="278"/>
      <c r="X14" s="278"/>
      <c r="Y14" s="278"/>
      <c r="Z14" s="278"/>
      <c r="AA14" s="278"/>
      <c r="AC14" s="278"/>
      <c r="AD14" s="278"/>
      <c r="AE14" s="278"/>
      <c r="AF14" s="278"/>
      <c r="AG14" s="278"/>
      <c r="AH14" s="278"/>
    </row>
    <row r="15" spans="2:34" s="245" customFormat="1" x14ac:dyDescent="0.25">
      <c r="B15" s="358" t="str">
        <f>'Inputs and eligible population'!C71</f>
        <v>People receiving carfilzomib and dexamethasone (option when refractory to daratumumab and lenalidomide)</v>
      </c>
      <c r="C15" s="702"/>
      <c r="D15" s="280">
        <f>D$8*'Inputs and eligible population'!E71</f>
        <v>85.716672826902325</v>
      </c>
      <c r="E15" s="280">
        <f>E$8*'Inputs and eligible population'!F71</f>
        <v>119.13978040025866</v>
      </c>
      <c r="F15" s="280">
        <f>F$8*'Inputs and eligible population'!G71</f>
        <v>262.13270622611719</v>
      </c>
      <c r="G15" s="280">
        <f>G$8*'Inputs and eligible population'!H71</f>
        <v>396.99020896432211</v>
      </c>
      <c r="H15" s="280">
        <f>H$8*'Inputs and eligible population'!I71</f>
        <v>534.42388283229468</v>
      </c>
      <c r="I15" s="280">
        <f>I$8*'Inputs and eligible population'!J71</f>
        <v>539.57669501468888</v>
      </c>
      <c r="N15" s="133"/>
      <c r="O15" s="133"/>
      <c r="P15" s="133"/>
      <c r="Q15" s="133"/>
      <c r="R15" s="133"/>
      <c r="S15" s="133"/>
      <c r="T15" s="133"/>
      <c r="V15" s="278"/>
      <c r="W15" s="278"/>
      <c r="X15" s="278"/>
      <c r="Y15" s="278"/>
      <c r="Z15" s="278"/>
      <c r="AA15" s="278"/>
      <c r="AC15" s="278"/>
      <c r="AD15" s="278"/>
      <c r="AE15" s="278"/>
      <c r="AF15" s="278"/>
      <c r="AG15" s="278"/>
      <c r="AH15" s="278"/>
    </row>
    <row r="16" spans="2:34" s="245" customFormat="1" x14ac:dyDescent="0.25">
      <c r="B16" s="358" t="str">
        <f>'Inputs and eligible population'!D72</f>
        <v>People receiving lenalidomide plus dexamethasone</v>
      </c>
      <c r="C16" s="359"/>
      <c r="D16" s="280">
        <f>D$8*'Inputs and eligible population'!E72</f>
        <v>417.86878003114884</v>
      </c>
      <c r="E16" s="280">
        <f>E$8*'Inputs and eligible population'!F72</f>
        <v>389.44411417236557</v>
      </c>
      <c r="F16" s="280">
        <f>F$8*'Inputs and eligible population'!G72</f>
        <v>349.5102749681563</v>
      </c>
      <c r="G16" s="280">
        <f>G$8*'Inputs and eligible population'!H72</f>
        <v>308.77016252780612</v>
      </c>
      <c r="H16" s="280">
        <f>H$8*'Inputs and eligible population'!I72</f>
        <v>267.21194141614734</v>
      </c>
      <c r="I16" s="280">
        <f>I$8*'Inputs and eligible population'!J72</f>
        <v>269.78834750734444</v>
      </c>
      <c r="N16" s="133"/>
      <c r="O16" s="133"/>
      <c r="P16" s="133"/>
      <c r="Q16" s="133"/>
      <c r="R16" s="133"/>
      <c r="S16" s="133"/>
      <c r="T16" s="133"/>
      <c r="V16" s="278"/>
      <c r="W16" s="278"/>
      <c r="X16" s="278"/>
      <c r="Y16" s="278"/>
      <c r="Z16" s="278"/>
      <c r="AA16" s="278"/>
      <c r="AC16" s="278"/>
      <c r="AD16" s="278"/>
      <c r="AE16" s="278"/>
      <c r="AF16" s="278"/>
      <c r="AG16" s="278"/>
      <c r="AH16" s="278"/>
    </row>
    <row r="17" spans="2:34" s="245" customFormat="1" x14ac:dyDescent="0.25">
      <c r="B17" s="358" t="str">
        <f>'Inputs and eligible population'!D73</f>
        <v>People receiving carfilzomib with dexamethasone and lenalidomide</v>
      </c>
      <c r="C17" s="702"/>
      <c r="D17" s="280">
        <f>D$8*'Inputs and eligible population'!E73</f>
        <v>407.15419592778602</v>
      </c>
      <c r="E17" s="280">
        <f>E$8*'Inputs and eligible population'!F73</f>
        <v>389.44411417236557</v>
      </c>
      <c r="F17" s="280">
        <f>F$8*'Inputs and eligible population'!G73</f>
        <v>349.5102749681563</v>
      </c>
      <c r="G17" s="280">
        <f>G$8*'Inputs and eligible population'!H73</f>
        <v>308.77016252780612</v>
      </c>
      <c r="H17" s="280">
        <f>H$8*'Inputs and eligible population'!I73</f>
        <v>267.21194141614734</v>
      </c>
      <c r="I17" s="280">
        <f>I$8*'Inputs and eligible population'!J73</f>
        <v>269.78834750734444</v>
      </c>
      <c r="N17" s="133"/>
      <c r="O17" s="133"/>
      <c r="P17" s="133"/>
      <c r="Q17" s="133"/>
      <c r="R17" s="133"/>
      <c r="S17" s="133"/>
      <c r="T17" s="133"/>
      <c r="V17" s="278"/>
      <c r="W17" s="278"/>
      <c r="X17" s="278"/>
      <c r="Y17" s="278"/>
      <c r="Z17" s="278"/>
      <c r="AA17" s="278"/>
      <c r="AC17" s="278"/>
      <c r="AD17" s="278"/>
      <c r="AE17" s="278"/>
      <c r="AF17" s="278"/>
      <c r="AG17" s="278"/>
      <c r="AH17" s="278"/>
    </row>
    <row r="18" spans="2:34" s="245" customFormat="1" x14ac:dyDescent="0.25">
      <c r="B18" s="358" t="str">
        <f>'Inputs and eligible population'!D74</f>
        <v>People receiving daratumumab with bortezomib and dexamethasone</v>
      </c>
      <c r="C18" s="702"/>
      <c r="D18" s="280">
        <f>D$8*'Inputs and eligible population'!E74</f>
        <v>1232.1771718867208</v>
      </c>
      <c r="E18" s="280">
        <f>E$8*'Inputs and eligible population'!F74</f>
        <v>1146.6965583964097</v>
      </c>
      <c r="F18" s="280">
        <f>F$8*'Inputs and eligible population'!G74</f>
        <v>961.15325616242978</v>
      </c>
      <c r="G18" s="280">
        <f>G$8*'Inputs and eligible population'!H74</f>
        <v>793.98041792864421</v>
      </c>
      <c r="H18" s="280">
        <f>H$8*'Inputs and eligible population'!I74</f>
        <v>623.49452997101048</v>
      </c>
      <c r="I18" s="280">
        <f>I$8*'Inputs and eligible population'!J74</f>
        <v>629.50614418380371</v>
      </c>
      <c r="N18" s="133"/>
      <c r="O18" s="133"/>
      <c r="P18" s="133"/>
      <c r="Q18" s="133"/>
      <c r="R18" s="133"/>
      <c r="S18" s="133"/>
      <c r="T18" s="133"/>
      <c r="V18" s="278"/>
      <c r="W18" s="278"/>
      <c r="X18" s="278"/>
      <c r="Y18" s="278"/>
      <c r="Z18" s="278"/>
      <c r="AA18" s="278"/>
      <c r="AC18" s="278"/>
      <c r="AD18" s="278"/>
      <c r="AE18" s="278"/>
      <c r="AF18" s="278"/>
      <c r="AG18" s="278"/>
      <c r="AH18" s="278"/>
    </row>
    <row r="19" spans="2:34" s="245" customFormat="1" x14ac:dyDescent="0.25">
      <c r="B19" s="285" t="s">
        <v>1150</v>
      </c>
      <c r="C19" s="186"/>
      <c r="D19" s="187">
        <f t="shared" ref="D19:I19" si="0">SUM(D14:D18)</f>
        <v>2142.9168206725581</v>
      </c>
      <c r="E19" s="187">
        <f t="shared" si="0"/>
        <v>2163.8643475416584</v>
      </c>
      <c r="F19" s="187">
        <f t="shared" si="0"/>
        <v>2184.4392185509769</v>
      </c>
      <c r="G19" s="187">
        <f t="shared" si="0"/>
        <v>2205.5011609129006</v>
      </c>
      <c r="H19" s="187">
        <f t="shared" si="0"/>
        <v>2226.7661784678944</v>
      </c>
      <c r="I19" s="187">
        <f t="shared" si="0"/>
        <v>2248.2362292278704</v>
      </c>
      <c r="N19" s="133"/>
      <c r="O19" s="133"/>
      <c r="P19" s="133"/>
      <c r="Q19" s="133"/>
      <c r="R19" s="133"/>
      <c r="S19" s="133"/>
      <c r="T19" s="133"/>
      <c r="V19" s="278"/>
      <c r="W19" s="278"/>
      <c r="X19" s="278"/>
      <c r="Y19" s="278"/>
      <c r="Z19" s="278"/>
      <c r="AA19" s="278"/>
      <c r="AC19" s="278"/>
      <c r="AD19" s="278"/>
      <c r="AE19" s="278"/>
      <c r="AF19" s="278"/>
      <c r="AG19" s="278"/>
      <c r="AH19" s="278"/>
    </row>
    <row r="20" spans="2:34" s="245" customFormat="1" x14ac:dyDescent="0.25">
      <c r="B20" s="287"/>
      <c r="C20" s="133"/>
      <c r="D20" s="133"/>
      <c r="E20" s="133"/>
      <c r="F20" s="133"/>
      <c r="G20" s="133"/>
      <c r="H20" s="133"/>
      <c r="I20" s="133"/>
      <c r="N20" s="133"/>
      <c r="O20" s="133"/>
      <c r="P20" s="133"/>
      <c r="Q20" s="133"/>
      <c r="R20" s="133"/>
      <c r="S20" s="133"/>
      <c r="T20" s="133"/>
      <c r="AD20" s="278"/>
      <c r="AE20" s="278"/>
      <c r="AF20" s="278"/>
      <c r="AG20" s="278"/>
      <c r="AH20" s="278"/>
    </row>
    <row r="21" spans="2:34" s="245" customFormat="1" x14ac:dyDescent="0.25">
      <c r="C21" s="281" t="s">
        <v>747</v>
      </c>
      <c r="D21" s="282" t="s">
        <v>166</v>
      </c>
      <c r="E21" s="282" t="s">
        <v>166</v>
      </c>
      <c r="F21" s="282" t="s">
        <v>166</v>
      </c>
      <c r="G21" s="282" t="s">
        <v>166</v>
      </c>
      <c r="H21" s="282" t="s">
        <v>166</v>
      </c>
      <c r="I21" s="282" t="s">
        <v>166</v>
      </c>
      <c r="N21" s="133"/>
      <c r="O21" s="133"/>
      <c r="P21" s="133"/>
      <c r="Q21" s="133"/>
      <c r="R21" s="133"/>
      <c r="S21" s="133"/>
      <c r="T21" s="133"/>
      <c r="AD21" s="278"/>
      <c r="AE21" s="278"/>
      <c r="AF21" s="278"/>
      <c r="AG21" s="278"/>
      <c r="AH21" s="278"/>
    </row>
    <row r="22" spans="2:34" s="245" customFormat="1" x14ac:dyDescent="0.25">
      <c r="B22" s="357" t="s">
        <v>1151</v>
      </c>
      <c r="C22" s="283">
        <f>'Unit costs'!R12</f>
        <v>0</v>
      </c>
      <c r="D22" s="283">
        <f t="shared" ref="D22:I22" si="1">D14*$C22/1000</f>
        <v>0</v>
      </c>
      <c r="E22" s="283">
        <f t="shared" si="1"/>
        <v>0</v>
      </c>
      <c r="F22" s="283">
        <f t="shared" si="1"/>
        <v>0</v>
      </c>
      <c r="G22" s="283">
        <f t="shared" si="1"/>
        <v>0</v>
      </c>
      <c r="H22" s="283">
        <f t="shared" si="1"/>
        <v>0</v>
      </c>
      <c r="I22" s="283">
        <f t="shared" si="1"/>
        <v>0</v>
      </c>
      <c r="N22" s="133"/>
      <c r="O22" s="133"/>
      <c r="P22" s="133"/>
      <c r="Q22" s="133"/>
      <c r="R22" s="133"/>
      <c r="S22" s="133"/>
      <c r="T22" s="133"/>
      <c r="AD22" s="278"/>
      <c r="AE22" s="278"/>
      <c r="AF22" s="278"/>
      <c r="AG22" s="278"/>
      <c r="AH22" s="278"/>
    </row>
    <row r="23" spans="2:34" s="245" customFormat="1" x14ac:dyDescent="0.25">
      <c r="B23" s="357" t="s">
        <v>1152</v>
      </c>
      <c r="C23" s="283">
        <f>'Unit costs'!R17</f>
        <v>0</v>
      </c>
      <c r="D23" s="283">
        <v>0</v>
      </c>
      <c r="E23" s="283">
        <v>0</v>
      </c>
      <c r="F23" s="283">
        <f>E14*$C$23/1000</f>
        <v>0</v>
      </c>
      <c r="G23" s="283">
        <f>F14*$C$23/1000</f>
        <v>0</v>
      </c>
      <c r="H23" s="283">
        <f>G14*$C$23/1000</f>
        <v>0</v>
      </c>
      <c r="I23" s="283">
        <f>H14*$C$23/1000</f>
        <v>0</v>
      </c>
      <c r="N23" s="133"/>
      <c r="O23" s="133"/>
      <c r="P23" s="133"/>
      <c r="Q23" s="133"/>
      <c r="R23" s="133"/>
      <c r="S23" s="133"/>
      <c r="T23" s="133"/>
      <c r="AD23" s="278"/>
      <c r="AE23" s="278"/>
      <c r="AF23" s="278"/>
      <c r="AG23" s="278"/>
      <c r="AH23" s="278"/>
    </row>
    <row r="24" spans="2:34" s="245" customFormat="1" x14ac:dyDescent="0.25">
      <c r="B24" s="357" t="s">
        <v>1153</v>
      </c>
      <c r="C24" s="283">
        <f>'Unit costs'!R40</f>
        <v>0</v>
      </c>
      <c r="D24" s="283">
        <f t="shared" ref="D24:I24" si="2">D15*$C24/1000</f>
        <v>0</v>
      </c>
      <c r="E24" s="283">
        <f t="shared" si="2"/>
        <v>0</v>
      </c>
      <c r="F24" s="283">
        <f t="shared" si="2"/>
        <v>0</v>
      </c>
      <c r="G24" s="283">
        <f t="shared" si="2"/>
        <v>0</v>
      </c>
      <c r="H24" s="283">
        <f t="shared" si="2"/>
        <v>0</v>
      </c>
      <c r="I24" s="283">
        <f t="shared" si="2"/>
        <v>0</v>
      </c>
      <c r="N24" s="133"/>
      <c r="O24" s="133"/>
      <c r="P24" s="133"/>
      <c r="Q24" s="133"/>
      <c r="R24" s="133"/>
      <c r="S24" s="133"/>
      <c r="T24" s="133"/>
      <c r="AD24" s="278"/>
      <c r="AE24" s="278"/>
      <c r="AF24" s="278"/>
      <c r="AG24" s="278"/>
      <c r="AH24" s="278"/>
    </row>
    <row r="25" spans="2:34" s="245" customFormat="1" x14ac:dyDescent="0.25">
      <c r="B25" s="357" t="s">
        <v>1154</v>
      </c>
      <c r="C25" s="283">
        <f>'Unit costs'!R44</f>
        <v>0</v>
      </c>
      <c r="D25" s="283">
        <f>D15*$C25/1000</f>
        <v>0</v>
      </c>
      <c r="E25" s="283">
        <f>D15*$C25/1000</f>
        <v>0</v>
      </c>
      <c r="F25" s="283">
        <f>E15*$C25/1000</f>
        <v>0</v>
      </c>
      <c r="G25" s="283">
        <f>F15*$C25/1000</f>
        <v>0</v>
      </c>
      <c r="H25" s="283">
        <f>G15*$C25/1000</f>
        <v>0</v>
      </c>
      <c r="I25" s="283">
        <f>H15*$C25/1000</f>
        <v>0</v>
      </c>
      <c r="N25" s="133"/>
      <c r="O25" s="133"/>
      <c r="P25" s="133"/>
      <c r="Q25" s="133"/>
      <c r="R25" s="133"/>
      <c r="S25" s="133"/>
      <c r="T25" s="133"/>
      <c r="AD25" s="278"/>
      <c r="AE25" s="278"/>
      <c r="AF25" s="278"/>
      <c r="AG25" s="278"/>
      <c r="AH25" s="278"/>
    </row>
    <row r="26" spans="2:34" s="245" customFormat="1" x14ac:dyDescent="0.25">
      <c r="B26" s="357" t="s">
        <v>1260</v>
      </c>
      <c r="C26" s="283">
        <f>'Unit costs'!R21</f>
        <v>0</v>
      </c>
      <c r="D26" s="283">
        <f>D16*$C26/1000</f>
        <v>0</v>
      </c>
      <c r="E26" s="283">
        <f t="shared" ref="E26:I27" si="3">E16*$C26/1000</f>
        <v>0</v>
      </c>
      <c r="F26" s="283">
        <f t="shared" si="3"/>
        <v>0</v>
      </c>
      <c r="G26" s="283">
        <f t="shared" si="3"/>
        <v>0</v>
      </c>
      <c r="H26" s="283">
        <f t="shared" si="3"/>
        <v>0</v>
      </c>
      <c r="I26" s="283">
        <f t="shared" si="3"/>
        <v>0</v>
      </c>
      <c r="N26" s="133"/>
      <c r="O26" s="133"/>
      <c r="P26" s="133"/>
      <c r="Q26" s="133"/>
      <c r="R26" s="133"/>
      <c r="S26" s="133"/>
      <c r="T26" s="133"/>
      <c r="AD26" s="278"/>
      <c r="AE26" s="278"/>
      <c r="AF26" s="278"/>
      <c r="AG26" s="278"/>
      <c r="AH26" s="278"/>
    </row>
    <row r="27" spans="2:34" s="245" customFormat="1" x14ac:dyDescent="0.25">
      <c r="B27" s="357" t="s">
        <v>1261</v>
      </c>
      <c r="C27" s="283">
        <f>'Unit costs'!R29</f>
        <v>0</v>
      </c>
      <c r="D27" s="283">
        <f>D17*$C27/1000</f>
        <v>0</v>
      </c>
      <c r="E27" s="283">
        <f t="shared" si="3"/>
        <v>0</v>
      </c>
      <c r="F27" s="283">
        <f t="shared" si="3"/>
        <v>0</v>
      </c>
      <c r="G27" s="283">
        <f t="shared" si="3"/>
        <v>0</v>
      </c>
      <c r="H27" s="283">
        <f t="shared" si="3"/>
        <v>0</v>
      </c>
      <c r="I27" s="283">
        <f t="shared" si="3"/>
        <v>0</v>
      </c>
      <c r="N27" s="133"/>
      <c r="O27" s="133"/>
      <c r="P27" s="133"/>
      <c r="Q27" s="133"/>
      <c r="R27" s="133"/>
      <c r="S27" s="133"/>
      <c r="T27" s="133"/>
      <c r="AD27" s="278"/>
      <c r="AE27" s="278"/>
      <c r="AF27" s="278"/>
      <c r="AG27" s="278"/>
      <c r="AH27" s="278"/>
    </row>
    <row r="28" spans="2:34" s="245" customFormat="1" x14ac:dyDescent="0.25">
      <c r="B28" s="357" t="s">
        <v>1262</v>
      </c>
      <c r="C28" s="283">
        <f>'Unit costs'!R34</f>
        <v>0</v>
      </c>
      <c r="D28" s="283">
        <f>D17*$C$28/1000</f>
        <v>0</v>
      </c>
      <c r="E28" s="283">
        <f>D17*$C$28/1000</f>
        <v>0</v>
      </c>
      <c r="F28" s="283">
        <f>E17*$C$28/1000</f>
        <v>0</v>
      </c>
      <c r="G28" s="283">
        <f>F17*$C$28/1000</f>
        <v>0</v>
      </c>
      <c r="H28" s="283">
        <f>G17*$C$28/1000</f>
        <v>0</v>
      </c>
      <c r="I28" s="283">
        <f>H17*$C$28/1000</f>
        <v>0</v>
      </c>
      <c r="N28" s="133"/>
      <c r="O28" s="133"/>
      <c r="P28" s="133"/>
      <c r="Q28" s="133"/>
      <c r="R28" s="133"/>
      <c r="S28" s="133"/>
      <c r="T28" s="133"/>
      <c r="AD28" s="278"/>
      <c r="AE28" s="278"/>
      <c r="AF28" s="278"/>
      <c r="AG28" s="278"/>
      <c r="AH28" s="278"/>
    </row>
    <row r="29" spans="2:34" s="245" customFormat="1" x14ac:dyDescent="0.25">
      <c r="B29" s="357" t="s">
        <v>1263</v>
      </c>
      <c r="C29" s="283">
        <f>'Unit costs'!R51</f>
        <v>0</v>
      </c>
      <c r="D29" s="283">
        <f t="shared" ref="D29:I29" si="4">D18*$C29/1000</f>
        <v>0</v>
      </c>
      <c r="E29" s="283">
        <f t="shared" si="4"/>
        <v>0</v>
      </c>
      <c r="F29" s="283">
        <f t="shared" si="4"/>
        <v>0</v>
      </c>
      <c r="G29" s="283">
        <f t="shared" si="4"/>
        <v>0</v>
      </c>
      <c r="H29" s="283">
        <f t="shared" si="4"/>
        <v>0</v>
      </c>
      <c r="I29" s="283">
        <f t="shared" si="4"/>
        <v>0</v>
      </c>
      <c r="N29" s="133"/>
      <c r="O29" s="133"/>
      <c r="P29" s="133"/>
      <c r="Q29" s="133"/>
      <c r="R29" s="133"/>
      <c r="S29" s="133"/>
      <c r="T29" s="133"/>
      <c r="AD29" s="278"/>
      <c r="AE29" s="278"/>
      <c r="AF29" s="278"/>
      <c r="AG29" s="278"/>
      <c r="AH29" s="278"/>
    </row>
    <row r="30" spans="2:34" s="245" customFormat="1" x14ac:dyDescent="0.25">
      <c r="B30" s="357" t="s">
        <v>1264</v>
      </c>
      <c r="C30" s="283">
        <f>'Unit costs'!R54</f>
        <v>0</v>
      </c>
      <c r="D30" s="283">
        <f>D18*$C30/1000</f>
        <v>0</v>
      </c>
      <c r="E30" s="283">
        <f>D18*$C30/1000</f>
        <v>0</v>
      </c>
      <c r="F30" s="283">
        <f>E18*$C30/1000</f>
        <v>0</v>
      </c>
      <c r="G30" s="283">
        <f>F18*$C30/1000</f>
        <v>0</v>
      </c>
      <c r="H30" s="283">
        <f>G18*$C30/1000</f>
        <v>0</v>
      </c>
      <c r="I30" s="283">
        <f>H18*$C30/1000</f>
        <v>0</v>
      </c>
      <c r="N30" s="133"/>
      <c r="O30" s="133"/>
      <c r="P30" s="133"/>
      <c r="Q30" s="133"/>
      <c r="R30" s="133"/>
      <c r="S30" s="133"/>
      <c r="T30" s="133"/>
      <c r="AD30" s="278"/>
      <c r="AE30" s="278"/>
      <c r="AF30" s="278"/>
      <c r="AG30" s="278"/>
      <c r="AH30" s="278"/>
    </row>
    <row r="31" spans="2:34" s="245" customFormat="1" x14ac:dyDescent="0.25">
      <c r="B31" s="289" t="s">
        <v>1155</v>
      </c>
      <c r="C31" s="188"/>
      <c r="D31" s="189">
        <f t="shared" ref="D31:I31" si="5">SUM(D22:D30)</f>
        <v>0</v>
      </c>
      <c r="E31" s="189">
        <f t="shared" si="5"/>
        <v>0</v>
      </c>
      <c r="F31" s="189">
        <f t="shared" si="5"/>
        <v>0</v>
      </c>
      <c r="G31" s="189">
        <f t="shared" si="5"/>
        <v>0</v>
      </c>
      <c r="H31" s="189">
        <f t="shared" si="5"/>
        <v>0</v>
      </c>
      <c r="I31" s="189">
        <f t="shared" si="5"/>
        <v>0</v>
      </c>
      <c r="J31" s="367"/>
      <c r="N31" s="133"/>
      <c r="O31" s="133"/>
      <c r="P31" s="133"/>
      <c r="Q31" s="133"/>
      <c r="R31" s="133"/>
      <c r="S31" s="133"/>
      <c r="T31" s="133"/>
      <c r="AD31" s="278"/>
      <c r="AE31" s="278"/>
      <c r="AF31" s="278"/>
      <c r="AG31" s="278"/>
      <c r="AH31" s="278"/>
    </row>
    <row r="32" spans="2:34" s="245" customFormat="1" x14ac:dyDescent="0.25">
      <c r="B32" s="287"/>
      <c r="C32" s="133"/>
      <c r="D32" s="133"/>
      <c r="E32" s="133"/>
      <c r="F32" s="133"/>
      <c r="G32" s="133"/>
      <c r="H32" s="133"/>
      <c r="I32" s="133"/>
      <c r="N32" s="133"/>
      <c r="O32" s="133"/>
      <c r="P32" s="133"/>
      <c r="Q32" s="133"/>
      <c r="R32" s="133"/>
      <c r="S32" s="133"/>
      <c r="T32" s="133"/>
      <c r="AD32" s="278"/>
      <c r="AE32" s="278"/>
      <c r="AF32" s="278"/>
      <c r="AG32" s="278"/>
      <c r="AH32" s="278"/>
    </row>
    <row r="33" spans="2:34" s="245" customFormat="1" x14ac:dyDescent="0.25">
      <c r="B33" s="390"/>
      <c r="C33" s="284"/>
      <c r="D33" s="366" t="s">
        <v>1156</v>
      </c>
      <c r="E33" s="189">
        <f>E31-$D$31</f>
        <v>0</v>
      </c>
      <c r="F33" s="189">
        <f>F31-$D$31</f>
        <v>0</v>
      </c>
      <c r="G33" s="189">
        <f>G31-$D$31</f>
        <v>0</v>
      </c>
      <c r="H33" s="189">
        <f>H31-$D$31</f>
        <v>0</v>
      </c>
      <c r="I33" s="189">
        <f>I31-$D$31</f>
        <v>0</v>
      </c>
      <c r="N33" s="133"/>
      <c r="O33" s="133"/>
      <c r="P33" s="133"/>
      <c r="Q33" s="133"/>
      <c r="R33" s="133"/>
      <c r="S33" s="133"/>
      <c r="T33" s="133"/>
      <c r="AD33" s="278"/>
      <c r="AE33" s="278"/>
      <c r="AF33" s="278"/>
      <c r="AG33" s="278"/>
      <c r="AH33" s="278"/>
    </row>
    <row r="34" spans="2:34" s="245" customFormat="1" x14ac:dyDescent="0.25">
      <c r="B34" s="390"/>
      <c r="C34" s="284"/>
      <c r="D34" s="290" t="s">
        <v>1157</v>
      </c>
      <c r="E34" s="189">
        <f>E33</f>
        <v>0</v>
      </c>
      <c r="F34" s="190">
        <f>F33-E33</f>
        <v>0</v>
      </c>
      <c r="G34" s="190">
        <f>G33-F33</f>
        <v>0</v>
      </c>
      <c r="H34" s="190">
        <f>H33-G33</f>
        <v>0</v>
      </c>
      <c r="I34" s="190">
        <f>I33-H33</f>
        <v>0</v>
      </c>
      <c r="J34" s="133"/>
      <c r="K34" s="133"/>
      <c r="L34" s="133"/>
      <c r="M34" s="133"/>
      <c r="N34" s="133"/>
      <c r="O34" s="133"/>
      <c r="P34" s="133"/>
      <c r="Q34" s="133"/>
      <c r="R34" s="133"/>
      <c r="S34" s="133"/>
      <c r="T34" s="133"/>
      <c r="AD34" s="278"/>
      <c r="AE34" s="278"/>
      <c r="AF34" s="278"/>
      <c r="AG34" s="278"/>
      <c r="AH34" s="278"/>
    </row>
    <row r="36" spans="2:34" x14ac:dyDescent="0.25">
      <c r="B36" s="349" t="s">
        <v>1158</v>
      </c>
      <c r="C36" s="350"/>
      <c r="D36" s="351"/>
      <c r="E36" s="351"/>
      <c r="F36" s="351"/>
      <c r="G36" s="351"/>
      <c r="H36" s="351"/>
      <c r="I36" s="352"/>
    </row>
    <row r="37" spans="2:34" x14ac:dyDescent="0.25">
      <c r="B37" s="247"/>
      <c r="C37" s="133"/>
      <c r="D37" s="133"/>
      <c r="E37" s="133"/>
      <c r="F37" s="133"/>
      <c r="G37" s="133"/>
      <c r="H37" s="133"/>
      <c r="I37" s="133"/>
    </row>
    <row r="38" spans="2:34" x14ac:dyDescent="0.25">
      <c r="B38" s="285" t="s">
        <v>1159</v>
      </c>
      <c r="C38" s="279"/>
      <c r="D38" s="184"/>
      <c r="E38" s="184"/>
      <c r="F38" s="184"/>
      <c r="G38" s="184"/>
      <c r="H38" s="184"/>
      <c r="I38" s="185"/>
    </row>
    <row r="39" spans="2:34" x14ac:dyDescent="0.25">
      <c r="B39" s="358" t="str">
        <f>'Inputs and eligible population'!C79</f>
        <v>People receiving selinexor with bortezomib and dexamethasone (option when refractory to lenalidomide)</v>
      </c>
      <c r="C39" s="359"/>
      <c r="D39" s="280">
        <f>D$9*'Inputs and eligible population'!E79</f>
        <v>0</v>
      </c>
      <c r="E39" s="280">
        <f>E$9*'Inputs and eligible population'!F79</f>
        <v>304.18181610956231</v>
      </c>
      <c r="F39" s="280">
        <f>F$9*'Inputs and eligible population'!G79</f>
        <v>633.42402464244526</v>
      </c>
      <c r="G39" s="280">
        <f>G$9*'Inputs and eligible population'!H79</f>
        <v>639.53137713107481</v>
      </c>
      <c r="H39" s="280">
        <f>H$9*'Inputs and eligible population'!I79</f>
        <v>645.69761553651381</v>
      </c>
      <c r="I39" s="280">
        <f>I$9*'Inputs and eligible population'!J79</f>
        <v>651.92330762543486</v>
      </c>
    </row>
    <row r="40" spans="2:34" x14ac:dyDescent="0.25">
      <c r="B40" s="358" t="str">
        <f>'Inputs and eligible population'!C80</f>
        <v>People receiving panobinostat with bortezomib and dexamethasone (option when refractory to lenalidomide)</v>
      </c>
      <c r="C40" s="702"/>
      <c r="D40" s="280">
        <f>D$9*'Inputs and eligible population'!E80</f>
        <v>1214.5227516596101</v>
      </c>
      <c r="E40" s="280">
        <f>E$9*'Inputs and eligible population'!F80</f>
        <v>912.54544832868692</v>
      </c>
      <c r="F40" s="280">
        <f>F$9*'Inputs and eligible population'!G80</f>
        <v>595.03468981563037</v>
      </c>
      <c r="G40" s="280">
        <f>G$9*'Inputs and eligible population'!H80</f>
        <v>600.77189972919143</v>
      </c>
      <c r="H40" s="280">
        <f>H$9*'Inputs and eligible population'!I80</f>
        <v>606.56442671611899</v>
      </c>
      <c r="I40" s="280">
        <f>I$9*'Inputs and eligible population'!J80</f>
        <v>612.41280413298421</v>
      </c>
    </row>
    <row r="41" spans="2:34" x14ac:dyDescent="0.25">
      <c r="B41" s="358" t="str">
        <f>'Inputs and eligible population'!D81</f>
        <v>People receiving lenalidomide plus dexamethasone</v>
      </c>
      <c r="C41" s="359"/>
      <c r="D41" s="280">
        <f>D$9*'Inputs and eligible population'!E81</f>
        <v>122.39376567112349</v>
      </c>
      <c r="E41" s="280">
        <f>E$9*'Inputs and eligible population'!F81</f>
        <v>133.07954454793352</v>
      </c>
      <c r="F41" s="280">
        <f>F$9*'Inputs and eligible population'!G81</f>
        <v>134.36267189385205</v>
      </c>
      <c r="G41" s="280">
        <f>G$9*'Inputs and eligible population'!H81</f>
        <v>135.65817090659164</v>
      </c>
      <c r="H41" s="280">
        <f>H$9*'Inputs and eligible population'!I81</f>
        <v>136.96616087138173</v>
      </c>
      <c r="I41" s="280">
        <f>I$9*'Inputs and eligible population'!J81</f>
        <v>138.28676222357709</v>
      </c>
    </row>
    <row r="42" spans="2:34" x14ac:dyDescent="0.25">
      <c r="B42" s="358" t="str">
        <f>'Inputs and eligible population'!D82</f>
        <v>People receiving ixazomib with dexamethasone and lenalidomide</v>
      </c>
      <c r="C42" s="702"/>
      <c r="D42" s="280">
        <f>D$9*'Inputs and eligible population'!E82</f>
        <v>546.06449299424321</v>
      </c>
      <c r="E42" s="280">
        <f>E$9*'Inputs and eligible population'!F82</f>
        <v>551.32954169858169</v>
      </c>
      <c r="F42" s="280">
        <f>F$9*'Inputs and eligible population'!G82</f>
        <v>556.64535498881548</v>
      </c>
      <c r="G42" s="280">
        <f>G$9*'Inputs and eligible population'!H82</f>
        <v>562.01242232730806</v>
      </c>
      <c r="H42" s="280">
        <f>H$9*'Inputs and eligible population'!I82</f>
        <v>567.43123789572417</v>
      </c>
      <c r="I42" s="280">
        <f>I$9*'Inputs and eligible population'!J82</f>
        <v>572.90230064053355</v>
      </c>
    </row>
    <row r="43" spans="2:34" x14ac:dyDescent="0.25">
      <c r="B43" s="285" t="s">
        <v>1160</v>
      </c>
      <c r="C43" s="186"/>
      <c r="D43" s="187">
        <f t="shared" ref="D43:I43" si="6">SUM(D39:D42)</f>
        <v>1882.9810103249768</v>
      </c>
      <c r="E43" s="187">
        <f t="shared" si="6"/>
        <v>1901.1363506847642</v>
      </c>
      <c r="F43" s="187">
        <f t="shared" si="6"/>
        <v>1919.4667413407433</v>
      </c>
      <c r="G43" s="187">
        <f t="shared" si="6"/>
        <v>1937.9738700941659</v>
      </c>
      <c r="H43" s="187">
        <f t="shared" si="6"/>
        <v>1956.659441019739</v>
      </c>
      <c r="I43" s="187">
        <f t="shared" si="6"/>
        <v>1975.5251746225299</v>
      </c>
    </row>
    <row r="44" spans="2:34" x14ac:dyDescent="0.25">
      <c r="B44" s="287"/>
      <c r="C44" s="133"/>
      <c r="D44" s="133"/>
      <c r="E44" s="133"/>
      <c r="F44" s="133"/>
      <c r="G44" s="133"/>
      <c r="H44" s="133"/>
      <c r="I44" s="133"/>
    </row>
    <row r="45" spans="2:34" x14ac:dyDescent="0.25">
      <c r="B45" s="245"/>
      <c r="C45" s="281" t="s">
        <v>747</v>
      </c>
      <c r="D45" s="282" t="s">
        <v>166</v>
      </c>
      <c r="E45" s="282" t="s">
        <v>166</v>
      </c>
      <c r="F45" s="282" t="s">
        <v>166</v>
      </c>
      <c r="G45" s="282" t="s">
        <v>166</v>
      </c>
      <c r="H45" s="282" t="s">
        <v>166</v>
      </c>
      <c r="I45" s="282" t="s">
        <v>166</v>
      </c>
    </row>
    <row r="46" spans="2:34" x14ac:dyDescent="0.25">
      <c r="B46" s="357" t="s">
        <v>1151</v>
      </c>
      <c r="C46" s="283">
        <f>'Unit costs'!R59</f>
        <v>0</v>
      </c>
      <c r="D46" s="283">
        <f t="shared" ref="D46:I46" si="7">D39*$C46/1000</f>
        <v>0</v>
      </c>
      <c r="E46" s="283">
        <f t="shared" si="7"/>
        <v>0</v>
      </c>
      <c r="F46" s="283">
        <f t="shared" si="7"/>
        <v>0</v>
      </c>
      <c r="G46" s="283">
        <f t="shared" si="7"/>
        <v>0</v>
      </c>
      <c r="H46" s="283">
        <f t="shared" si="7"/>
        <v>0</v>
      </c>
      <c r="I46" s="283">
        <f t="shared" si="7"/>
        <v>0</v>
      </c>
    </row>
    <row r="47" spans="2:34" x14ac:dyDescent="0.25">
      <c r="B47" s="357" t="s">
        <v>1152</v>
      </c>
      <c r="C47" s="283">
        <f>'Unit costs'!R64</f>
        <v>0</v>
      </c>
      <c r="D47" s="283">
        <v>0</v>
      </c>
      <c r="E47" s="283">
        <v>0</v>
      </c>
      <c r="F47" s="283">
        <f>E39*$C$47/1000</f>
        <v>0</v>
      </c>
      <c r="G47" s="283">
        <f>F39*$C$47/1000</f>
        <v>0</v>
      </c>
      <c r="H47" s="283">
        <f>G39*$C$47/1000</f>
        <v>0</v>
      </c>
      <c r="I47" s="283">
        <f>H39*$C$47/1000</f>
        <v>0</v>
      </c>
    </row>
    <row r="48" spans="2:34" x14ac:dyDescent="0.25">
      <c r="B48" s="357" t="s">
        <v>1265</v>
      </c>
      <c r="C48" s="283">
        <f>'Unit costs'!R83</f>
        <v>0</v>
      </c>
      <c r="D48" s="283">
        <f t="shared" ref="D48:I48" si="8">D40*$C48/1000</f>
        <v>0</v>
      </c>
      <c r="E48" s="283">
        <f t="shared" si="8"/>
        <v>0</v>
      </c>
      <c r="F48" s="283">
        <f t="shared" si="8"/>
        <v>0</v>
      </c>
      <c r="G48" s="283">
        <f t="shared" si="8"/>
        <v>0</v>
      </c>
      <c r="H48" s="283">
        <f t="shared" si="8"/>
        <v>0</v>
      </c>
      <c r="I48" s="283">
        <f t="shared" si="8"/>
        <v>0</v>
      </c>
    </row>
    <row r="49" spans="2:9" x14ac:dyDescent="0.25">
      <c r="B49" s="357" t="s">
        <v>1290</v>
      </c>
      <c r="C49" s="283">
        <f>'Unit costs'!R88</f>
        <v>0</v>
      </c>
      <c r="D49" s="283">
        <f>D40*$C$49/1000</f>
        <v>0</v>
      </c>
      <c r="E49" s="283">
        <f>D40*$C$49/1000</f>
        <v>0</v>
      </c>
      <c r="F49" s="283">
        <f t="shared" ref="F49:I49" si="9">E40*$C$49/1000</f>
        <v>0</v>
      </c>
      <c r="G49" s="283">
        <f t="shared" si="9"/>
        <v>0</v>
      </c>
      <c r="H49" s="283">
        <f t="shared" si="9"/>
        <v>0</v>
      </c>
      <c r="I49" s="283">
        <f t="shared" si="9"/>
        <v>0</v>
      </c>
    </row>
    <row r="50" spans="2:9" x14ac:dyDescent="0.25">
      <c r="B50" s="357" t="s">
        <v>1260</v>
      </c>
      <c r="C50" s="283">
        <f>'Unit costs'!R68</f>
        <v>0</v>
      </c>
      <c r="D50" s="283">
        <f t="shared" ref="D50:I51" si="10">D41*$C50/1000</f>
        <v>0</v>
      </c>
      <c r="E50" s="283">
        <f t="shared" si="10"/>
        <v>0</v>
      </c>
      <c r="F50" s="283">
        <f t="shared" si="10"/>
        <v>0</v>
      </c>
      <c r="G50" s="283">
        <f t="shared" si="10"/>
        <v>0</v>
      </c>
      <c r="H50" s="283">
        <f t="shared" si="10"/>
        <v>0</v>
      </c>
      <c r="I50" s="283">
        <f t="shared" si="10"/>
        <v>0</v>
      </c>
    </row>
    <row r="51" spans="2:9" x14ac:dyDescent="0.25">
      <c r="B51" s="357" t="s">
        <v>1266</v>
      </c>
      <c r="C51" s="283">
        <f>'Unit costs'!R73</f>
        <v>0</v>
      </c>
      <c r="D51" s="283">
        <f t="shared" si="10"/>
        <v>0</v>
      </c>
      <c r="E51" s="283">
        <f t="shared" si="10"/>
        <v>0</v>
      </c>
      <c r="F51" s="283">
        <f t="shared" si="10"/>
        <v>0</v>
      </c>
      <c r="G51" s="283">
        <f t="shared" si="10"/>
        <v>0</v>
      </c>
      <c r="H51" s="283">
        <f t="shared" si="10"/>
        <v>0</v>
      </c>
      <c r="I51" s="283">
        <f t="shared" si="10"/>
        <v>0</v>
      </c>
    </row>
    <row r="52" spans="2:9" x14ac:dyDescent="0.25">
      <c r="B52" s="357" t="s">
        <v>1267</v>
      </c>
      <c r="C52" s="283">
        <f>'Unit costs'!R78</f>
        <v>0</v>
      </c>
      <c r="D52" s="283">
        <f>D42*$C$52/1000</f>
        <v>0</v>
      </c>
      <c r="E52" s="283">
        <f>D42*$C$52/1000</f>
        <v>0</v>
      </c>
      <c r="F52" s="283">
        <f>E42*$C$52/1000</f>
        <v>0</v>
      </c>
      <c r="G52" s="283">
        <f>F42*$C$52/1000</f>
        <v>0</v>
      </c>
      <c r="H52" s="283">
        <f>G42*$C$52/1000</f>
        <v>0</v>
      </c>
      <c r="I52" s="283">
        <f>H42*$C$52/1000</f>
        <v>0</v>
      </c>
    </row>
    <row r="53" spans="2:9" x14ac:dyDescent="0.25">
      <c r="B53" s="289" t="s">
        <v>1161</v>
      </c>
      <c r="C53" s="188"/>
      <c r="D53" s="189">
        <f t="shared" ref="D53:I53" si="11">SUM(D46:D52)</f>
        <v>0</v>
      </c>
      <c r="E53" s="189">
        <f t="shared" si="11"/>
        <v>0</v>
      </c>
      <c r="F53" s="189">
        <f t="shared" si="11"/>
        <v>0</v>
      </c>
      <c r="G53" s="189">
        <f t="shared" si="11"/>
        <v>0</v>
      </c>
      <c r="H53" s="189">
        <f t="shared" si="11"/>
        <v>0</v>
      </c>
      <c r="I53" s="189">
        <f t="shared" si="11"/>
        <v>0</v>
      </c>
    </row>
    <row r="54" spans="2:9" x14ac:dyDescent="0.25">
      <c r="B54" s="287"/>
      <c r="C54" s="133"/>
      <c r="D54" s="133"/>
      <c r="E54" s="133"/>
      <c r="F54" s="133"/>
      <c r="G54" s="133"/>
      <c r="H54" s="133"/>
      <c r="I54" s="133"/>
    </row>
    <row r="55" spans="2:9" x14ac:dyDescent="0.25">
      <c r="B55" s="390"/>
      <c r="C55" s="284"/>
      <c r="D55" s="366" t="s">
        <v>1162</v>
      </c>
      <c r="E55" s="189">
        <f>E53-$D$53</f>
        <v>0</v>
      </c>
      <c r="F55" s="189">
        <f t="shared" ref="F55:H55" si="12">F53-$D$53</f>
        <v>0</v>
      </c>
      <c r="G55" s="189">
        <f t="shared" si="12"/>
        <v>0</v>
      </c>
      <c r="H55" s="189">
        <f t="shared" si="12"/>
        <v>0</v>
      </c>
      <c r="I55" s="189">
        <f>I53-$D$53</f>
        <v>0</v>
      </c>
    </row>
    <row r="56" spans="2:9" x14ac:dyDescent="0.25">
      <c r="B56" s="390"/>
      <c r="C56" s="284"/>
      <c r="D56" s="290" t="s">
        <v>1163</v>
      </c>
      <c r="E56" s="189">
        <f>E55</f>
        <v>0</v>
      </c>
      <c r="F56" s="190">
        <f>F55-E55</f>
        <v>0</v>
      </c>
      <c r="G56" s="190">
        <f>G55-F55</f>
        <v>0</v>
      </c>
      <c r="H56" s="190">
        <f>H55-G55</f>
        <v>0</v>
      </c>
      <c r="I56" s="190">
        <f>I55-H55</f>
        <v>0</v>
      </c>
    </row>
  </sheetData>
  <sheetProtection algorithmName="SHA-512" hashValue="cXrFUaiss2+XP1ewaDj+i4lF3MHFMfzz5WI6tQ3nI/N2uOBFuFZAIbJZ6oH2AscFNavaggyyX0pCMhz5yVPDtQ==" saltValue="ahYG2Lxt5RwjAcbj6idIcg==" spinCount="100000" sheet="1" objects="1" scenarios="1"/>
  <pageMargins left="0.70866141732283472" right="0.70866141732283472" top="0.74803149606299213" bottom="0.74803149606299213" header="0.31496062992125984" footer="0.31496062992125984"/>
  <pageSetup paperSize="9" scale="52"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199E8-872B-42EC-B03F-FD6613F25FF6}">
  <sheetPr>
    <tabColor theme="8" tint="-0.499984740745262"/>
    <pageSetUpPr fitToPage="1"/>
  </sheetPr>
  <dimension ref="A1:AN236"/>
  <sheetViews>
    <sheetView showGridLines="0" topLeftCell="B1" zoomScale="70" zoomScaleNormal="70" zoomScaleSheetLayoutView="30" workbookViewId="0">
      <selection activeCell="B110" sqref="B110"/>
    </sheetView>
  </sheetViews>
  <sheetFormatPr defaultColWidth="8.85546875" defaultRowHeight="15" x14ac:dyDescent="0.25"/>
  <cols>
    <col min="1" max="1" width="3.5703125" customWidth="1"/>
    <col min="2" max="2" width="74.42578125" style="1" customWidth="1"/>
    <col min="3" max="9" width="12.5703125" customWidth="1"/>
    <col min="10" max="10" width="2.140625" customWidth="1"/>
    <col min="11" max="11" width="10.5703125" customWidth="1"/>
    <col min="12" max="18" width="11.7109375" customWidth="1"/>
    <col min="19" max="19" width="11.42578125" customWidth="1"/>
    <col min="20" max="20" width="11.7109375" customWidth="1"/>
    <col min="21" max="26" width="10.85546875" customWidth="1"/>
    <col min="28" max="41" width="0" hidden="1" customWidth="1"/>
  </cols>
  <sheetData>
    <row r="1" spans="1:40" ht="30" customHeight="1" x14ac:dyDescent="0.25">
      <c r="B1" s="785" t="str">
        <f>'Unit costs'!B1</f>
        <v>Selinexor with bortezomib and dexamethasone for previously treated multiple myeloma 
(TA974)</v>
      </c>
      <c r="C1" s="127"/>
      <c r="D1" s="127"/>
      <c r="F1" s="127"/>
      <c r="G1" s="127"/>
      <c r="H1" s="127"/>
      <c r="I1" s="127"/>
      <c r="J1" s="127"/>
      <c r="K1" s="127"/>
      <c r="L1" s="127"/>
      <c r="M1" s="127"/>
      <c r="N1" s="127"/>
      <c r="O1" s="127"/>
      <c r="P1" s="127"/>
      <c r="R1" s="127"/>
      <c r="S1" s="127"/>
      <c r="T1" s="127"/>
      <c r="U1" s="127"/>
      <c r="V1" s="127"/>
      <c r="W1" s="127"/>
      <c r="X1" s="127"/>
      <c r="Y1" s="127"/>
      <c r="Z1" s="127"/>
    </row>
    <row r="2" spans="1:40" ht="42.6" customHeight="1" x14ac:dyDescent="0.25">
      <c r="B2" s="216" t="s">
        <v>748</v>
      </c>
      <c r="C2" s="127" t="s">
        <v>108</v>
      </c>
      <c r="D2" s="127" t="s">
        <v>108</v>
      </c>
      <c r="E2" s="552"/>
      <c r="F2" s="127" t="s">
        <v>108</v>
      </c>
      <c r="G2" s="127" t="s">
        <v>108</v>
      </c>
      <c r="H2" s="127" t="s">
        <v>108</v>
      </c>
      <c r="I2" s="127" t="s">
        <v>108</v>
      </c>
      <c r="J2" s="127"/>
      <c r="K2" s="127"/>
      <c r="L2" s="127"/>
      <c r="M2" s="127"/>
      <c r="N2" s="127"/>
      <c r="O2" s="127"/>
      <c r="P2" s="127"/>
      <c r="Q2" s="127"/>
      <c r="R2" s="127"/>
      <c r="S2" s="127"/>
      <c r="T2" s="127"/>
      <c r="U2" s="127"/>
      <c r="V2" s="127"/>
      <c r="W2" s="127"/>
      <c r="X2" s="127"/>
      <c r="Y2" s="127"/>
      <c r="Z2" s="127"/>
    </row>
    <row r="3" spans="1:40" ht="14.45" customHeight="1" x14ac:dyDescent="0.25">
      <c r="B3" s="130" t="s">
        <v>108</v>
      </c>
      <c r="C3" s="133" t="s">
        <v>108</v>
      </c>
      <c r="D3" s="133" t="s">
        <v>108</v>
      </c>
      <c r="F3" s="133" t="s">
        <v>108</v>
      </c>
      <c r="G3" s="133" t="s">
        <v>108</v>
      </c>
      <c r="H3" s="133" t="s">
        <v>108</v>
      </c>
      <c r="I3" s="133" t="s">
        <v>108</v>
      </c>
      <c r="J3" s="133"/>
      <c r="K3" s="133"/>
      <c r="L3" s="127"/>
      <c r="M3" s="127"/>
      <c r="N3" s="127"/>
      <c r="O3" s="127"/>
      <c r="P3" s="127"/>
      <c r="Q3" s="133"/>
      <c r="R3" s="133"/>
      <c r="S3" s="133"/>
      <c r="T3" s="133"/>
      <c r="U3" s="133"/>
      <c r="V3" s="133"/>
      <c r="W3" s="133"/>
      <c r="X3" s="133"/>
      <c r="Y3" s="133"/>
      <c r="Z3" s="133"/>
    </row>
    <row r="4" spans="1:40" ht="14.45" customHeight="1" x14ac:dyDescent="0.25">
      <c r="B4" t="s">
        <v>749</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33"/>
      <c r="T5" s="133"/>
      <c r="U5" s="133"/>
      <c r="V5" s="133"/>
      <c r="W5" s="133"/>
      <c r="X5" s="133"/>
      <c r="Y5" s="133"/>
      <c r="Z5" s="133"/>
    </row>
    <row r="6" spans="1:40" ht="45" x14ac:dyDescent="0.25">
      <c r="B6" s="263" t="s">
        <v>37</v>
      </c>
      <c r="C6" s="211"/>
      <c r="D6" s="434" t="s">
        <v>743</v>
      </c>
      <c r="E6" s="261" t="s">
        <v>51</v>
      </c>
      <c r="F6" s="261" t="s">
        <v>52</v>
      </c>
      <c r="G6" s="165" t="s">
        <v>744</v>
      </c>
      <c r="H6" s="165" t="s">
        <v>745</v>
      </c>
      <c r="I6" s="261" t="s">
        <v>746</v>
      </c>
      <c r="J6" s="133"/>
      <c r="K6" s="133"/>
      <c r="L6" s="434" t="s">
        <v>743</v>
      </c>
      <c r="M6" s="261" t="s">
        <v>51</v>
      </c>
      <c r="N6" s="261" t="s">
        <v>52</v>
      </c>
      <c r="O6" s="165" t="s">
        <v>744</v>
      </c>
      <c r="P6" s="165" t="s">
        <v>745</v>
      </c>
      <c r="Q6" s="261" t="s">
        <v>746</v>
      </c>
      <c r="R6" s="133"/>
      <c r="S6" s="133"/>
      <c r="T6" s="133"/>
      <c r="U6" s="133"/>
      <c r="V6" s="133"/>
      <c r="W6" s="133"/>
      <c r="X6" s="133"/>
      <c r="Y6" s="133"/>
      <c r="Z6" s="133"/>
      <c r="AJ6" s="292"/>
      <c r="AK6" s="292"/>
      <c r="AL6" s="292"/>
      <c r="AM6" s="292"/>
      <c r="AN6" s="292"/>
    </row>
    <row r="7" spans="1:40" x14ac:dyDescent="0.25">
      <c r="B7" s="228" t="s">
        <v>1286</v>
      </c>
      <c r="C7" s="168"/>
      <c r="D7" s="391">
        <f>'Inputs and eligible population'!F48</f>
        <v>2142.9168206725581</v>
      </c>
      <c r="E7" s="391">
        <f>'Inputs and eligible population'!G48</f>
        <v>2163.5784120686976</v>
      </c>
      <c r="F7" s="391">
        <f>'Inputs and eligible population'!H48</f>
        <v>2184.4392185509769</v>
      </c>
      <c r="G7" s="391">
        <f>'Inputs and eligible population'!I48</f>
        <v>2205.5011609129006</v>
      </c>
      <c r="H7" s="391">
        <f>'Inputs and eligible population'!J48</f>
        <v>2226.7661784678944</v>
      </c>
      <c r="I7" s="391">
        <f>'Inputs and eligible population'!K48</f>
        <v>2248.2362292278704</v>
      </c>
      <c r="J7" s="133"/>
      <c r="K7" s="133"/>
      <c r="P7" s="133"/>
      <c r="Q7" s="133"/>
      <c r="R7" s="133"/>
      <c r="S7" s="133"/>
      <c r="T7" s="133"/>
      <c r="U7" s="133"/>
      <c r="V7" s="133"/>
      <c r="W7" s="133"/>
      <c r="X7" s="133"/>
      <c r="Y7" s="133"/>
      <c r="Z7" s="133"/>
      <c r="AJ7" s="292"/>
      <c r="AK7" s="292"/>
      <c r="AL7" s="292"/>
      <c r="AM7" s="292"/>
      <c r="AN7" s="292"/>
    </row>
    <row r="8" spans="1:40" x14ac:dyDescent="0.25">
      <c r="B8"/>
      <c r="J8" s="133"/>
      <c r="K8" s="133"/>
      <c r="P8" s="133"/>
      <c r="Q8" s="133"/>
      <c r="R8" s="133"/>
      <c r="S8" s="133"/>
      <c r="T8" s="133"/>
      <c r="U8" s="133"/>
      <c r="V8" s="133"/>
      <c r="W8" s="133"/>
      <c r="X8" s="133"/>
      <c r="Y8" s="133"/>
      <c r="Z8" s="133"/>
      <c r="AJ8" s="292"/>
      <c r="AK8" s="292"/>
      <c r="AL8" s="292"/>
      <c r="AM8" s="292"/>
      <c r="AN8" s="292"/>
    </row>
    <row r="9" spans="1:40" x14ac:dyDescent="0.25">
      <c r="B9" s="285" t="s">
        <v>750</v>
      </c>
      <c r="C9" s="451"/>
      <c r="D9" s="451"/>
      <c r="E9" s="452"/>
      <c r="F9" s="451"/>
      <c r="G9" s="453"/>
      <c r="H9" s="454"/>
      <c r="I9" s="454"/>
      <c r="J9" s="133"/>
      <c r="K9" s="133"/>
      <c r="L9" s="257" t="s">
        <v>166</v>
      </c>
      <c r="M9" s="257" t="s">
        <v>166</v>
      </c>
      <c r="N9" s="257" t="s">
        <v>166</v>
      </c>
      <c r="O9" s="257" t="s">
        <v>166</v>
      </c>
      <c r="P9" s="257" t="s">
        <v>166</v>
      </c>
      <c r="Q9" s="257" t="s">
        <v>166</v>
      </c>
      <c r="R9" s="133"/>
      <c r="S9" s="133"/>
      <c r="T9" s="133"/>
      <c r="U9" s="133"/>
      <c r="V9" s="133"/>
      <c r="W9" s="133"/>
      <c r="X9" s="133"/>
      <c r="Y9" s="133"/>
      <c r="Z9" s="133"/>
      <c r="AJ9" s="292"/>
      <c r="AK9" s="292"/>
      <c r="AL9" s="292"/>
      <c r="AM9" s="292"/>
      <c r="AN9" s="292"/>
    </row>
    <row r="10" spans="1:40" x14ac:dyDescent="0.25">
      <c r="A10" s="302"/>
      <c r="B10" s="458" t="str">
        <f>'Capacity (national prices) 2nd'!B10</f>
        <v>First attendances - number of appointments</v>
      </c>
      <c r="C10" s="396"/>
      <c r="D10" s="436">
        <f>'Capacity (national prices) 2nd'!D10</f>
        <v>2142.9168206725581</v>
      </c>
      <c r="E10" s="436">
        <f>'Capacity (national prices) 2nd'!E10</f>
        <v>2163.8643475416584</v>
      </c>
      <c r="F10" s="436">
        <f>'Capacity (national prices) 2nd'!F10</f>
        <v>2184.4392185509769</v>
      </c>
      <c r="G10" s="436">
        <f>'Capacity (national prices) 2nd'!G10</f>
        <v>2205.5011609129006</v>
      </c>
      <c r="H10" s="436">
        <f>'Capacity (national prices) 2nd'!H10</f>
        <v>2226.7661784678944</v>
      </c>
      <c r="I10" s="436">
        <f>'Capacity (national prices) 2nd'!I10</f>
        <v>2248.2362292278704</v>
      </c>
      <c r="J10" s="133"/>
      <c r="K10" s="133"/>
      <c r="L10" s="209"/>
      <c r="M10" s="209"/>
      <c r="N10" s="209"/>
      <c r="O10" s="209"/>
      <c r="P10" s="428"/>
      <c r="Q10" s="428"/>
      <c r="R10" s="133"/>
      <c r="S10" s="133"/>
      <c r="T10" s="133"/>
      <c r="U10" s="133"/>
      <c r="V10" s="133"/>
      <c r="W10" s="133"/>
      <c r="X10" s="133"/>
      <c r="Y10" s="133"/>
      <c r="Z10" s="133"/>
      <c r="AJ10" s="292"/>
      <c r="AK10" s="292"/>
      <c r="AL10" s="292"/>
      <c r="AM10" s="292"/>
      <c r="AN10" s="292"/>
    </row>
    <row r="11" spans="1:40" x14ac:dyDescent="0.25">
      <c r="A11" s="302"/>
      <c r="B11" s="458" t="str">
        <f>'Capacity (national prices) 2nd'!B11</f>
        <v>Follow up attendances - number of appointments</v>
      </c>
      <c r="C11" s="396"/>
      <c r="D11" s="436">
        <f>'Capacity (national prices) 2nd'!D11</f>
        <v>40584.497549293606</v>
      </c>
      <c r="E11" s="436">
        <f>'Capacity (national prices) 2nd'!E11</f>
        <v>39877.214919925129</v>
      </c>
      <c r="F11" s="436">
        <f>'Capacity (national prices) 2nd'!F11</f>
        <v>38327.12419857159</v>
      </c>
      <c r="G11" s="436">
        <f>'Capacity (national prices) 2nd'!G11</f>
        <v>37509.217782054358</v>
      </c>
      <c r="H11" s="436">
        <f>'Capacity (national prices) 2nd'!H11</f>
        <v>36589.358517059562</v>
      </c>
      <c r="I11" s="436">
        <f>'Capacity (national prices) 2nd'!I11</f>
        <v>37619.527542152791</v>
      </c>
      <c r="J11" s="133"/>
      <c r="K11" s="133"/>
      <c r="L11" s="209"/>
      <c r="M11" s="209"/>
      <c r="N11" s="209"/>
      <c r="O11" s="209"/>
      <c r="P11" s="428"/>
      <c r="Q11" s="428"/>
      <c r="R11" s="133"/>
      <c r="S11" s="133"/>
      <c r="T11" s="133"/>
      <c r="U11" s="133"/>
      <c r="V11" s="133"/>
      <c r="W11" s="133"/>
      <c r="X11" s="133"/>
      <c r="Y11" s="133"/>
      <c r="Z11" s="133"/>
      <c r="AJ11" s="292"/>
      <c r="AK11" s="292"/>
      <c r="AL11" s="292"/>
      <c r="AM11" s="292"/>
      <c r="AN11" s="292"/>
    </row>
    <row r="12" spans="1:40" x14ac:dyDescent="0.25">
      <c r="A12" s="302"/>
      <c r="B12" s="458" t="str">
        <f>B34</f>
        <v>First attendances - hours</v>
      </c>
      <c r="C12" s="396"/>
      <c r="D12" s="436">
        <f>D41</f>
        <v>714.30560689085269</v>
      </c>
      <c r="E12" s="436">
        <f t="shared" ref="E12:I12" si="0">E41</f>
        <v>721.28811584721939</v>
      </c>
      <c r="F12" s="436">
        <f t="shared" si="0"/>
        <v>728.14640618365888</v>
      </c>
      <c r="G12" s="436">
        <f t="shared" si="0"/>
        <v>735.16705363763356</v>
      </c>
      <c r="H12" s="436">
        <f t="shared" si="0"/>
        <v>742.25539282263151</v>
      </c>
      <c r="I12" s="436">
        <f t="shared" si="0"/>
        <v>749.41207640929019</v>
      </c>
      <c r="J12" s="133"/>
      <c r="K12" s="133"/>
      <c r="L12" s="299">
        <f>L41</f>
        <v>73.62347890224018</v>
      </c>
      <c r="M12" s="299">
        <f t="shared" ref="M12:Q12" si="1">M41</f>
        <v>74.343166100372912</v>
      </c>
      <c r="N12" s="299">
        <f t="shared" si="1"/>
        <v>75.05005008534971</v>
      </c>
      <c r="O12" s="299">
        <f t="shared" si="1"/>
        <v>75.773668218430885</v>
      </c>
      <c r="P12" s="299">
        <f t="shared" si="1"/>
        <v>76.504263338228625</v>
      </c>
      <c r="Q12" s="299">
        <f t="shared" si="1"/>
        <v>77.241902715505518</v>
      </c>
      <c r="R12" s="133"/>
      <c r="S12" s="133"/>
      <c r="T12" s="133"/>
      <c r="U12" s="133"/>
      <c r="V12" s="133"/>
      <c r="W12" s="133"/>
      <c r="X12" s="133"/>
      <c r="Y12" s="133"/>
      <c r="Z12" s="133"/>
      <c r="AJ12" s="292"/>
      <c r="AK12" s="292"/>
      <c r="AL12" s="292"/>
      <c r="AM12" s="292"/>
      <c r="AN12" s="292"/>
    </row>
    <row r="13" spans="1:40" x14ac:dyDescent="0.25">
      <c r="A13" s="302"/>
      <c r="B13" s="458" t="str">
        <f>B44</f>
        <v>Follow up attendances - hours</v>
      </c>
      <c r="C13" s="396"/>
      <c r="D13" s="436">
        <f>D51</f>
        <v>6764.0829248822665</v>
      </c>
      <c r="E13" s="436">
        <f t="shared" ref="E13:I13" si="2">E51</f>
        <v>6646.2024866541888</v>
      </c>
      <c r="F13" s="436">
        <f t="shared" si="2"/>
        <v>6387.8540330952655</v>
      </c>
      <c r="G13" s="436">
        <f t="shared" si="2"/>
        <v>6251.5362970090609</v>
      </c>
      <c r="H13" s="436">
        <f t="shared" si="2"/>
        <v>6098.2264195099269</v>
      </c>
      <c r="I13" s="436">
        <f t="shared" si="2"/>
        <v>6269.9212570254658</v>
      </c>
      <c r="J13" s="133"/>
      <c r="K13" s="133"/>
      <c r="L13" s="299">
        <f>L51</f>
        <v>116.19567117793586</v>
      </c>
      <c r="M13" s="299">
        <f t="shared" ref="M13:Q13" si="3">M51</f>
        <v>114.17068171657452</v>
      </c>
      <c r="N13" s="299">
        <f t="shared" si="3"/>
        <v>109.73268586518816</v>
      </c>
      <c r="O13" s="299">
        <f t="shared" si="3"/>
        <v>107.39097435545398</v>
      </c>
      <c r="P13" s="299">
        <f t="shared" si="3"/>
        <v>104.75736617648136</v>
      </c>
      <c r="Q13" s="299">
        <f t="shared" si="3"/>
        <v>107.70679732693579</v>
      </c>
      <c r="R13" s="133"/>
      <c r="S13" s="133"/>
      <c r="T13" s="133"/>
      <c r="U13" s="133"/>
      <c r="V13" s="133"/>
      <c r="W13" s="133"/>
      <c r="X13" s="133"/>
      <c r="Y13" s="133"/>
      <c r="Z13" s="133"/>
      <c r="AJ13" s="292"/>
      <c r="AK13" s="292"/>
      <c r="AL13" s="292"/>
      <c r="AM13" s="292"/>
      <c r="AN13" s="292"/>
    </row>
    <row r="14" spans="1:40" x14ac:dyDescent="0.25">
      <c r="A14" s="302"/>
      <c r="B14" s="455" t="str">
        <f>B54</f>
        <v>Administrations</v>
      </c>
      <c r="C14" s="430"/>
      <c r="D14" s="429">
        <f t="shared" ref="D14:I14" si="4">D59</f>
        <v>132827.09194177299</v>
      </c>
      <c r="E14" s="429">
        <f t="shared" si="4"/>
        <v>133956.41197540786</v>
      </c>
      <c r="F14" s="429">
        <f t="shared" si="4"/>
        <v>137639.50825959211</v>
      </c>
      <c r="G14" s="429">
        <f t="shared" si="4"/>
        <v>144518.98296567146</v>
      </c>
      <c r="H14" s="429">
        <f t="shared" si="4"/>
        <v>151275.15847006871</v>
      </c>
      <c r="I14" s="429">
        <f t="shared" si="4"/>
        <v>156344.77570089762</v>
      </c>
      <c r="J14" s="133"/>
      <c r="K14" s="133"/>
      <c r="L14" s="209"/>
      <c r="M14" s="209"/>
      <c r="N14" s="209"/>
      <c r="O14" s="209"/>
      <c r="P14" s="428"/>
      <c r="Q14" s="428"/>
      <c r="R14" s="133"/>
      <c r="S14" s="133"/>
      <c r="T14" s="133"/>
      <c r="U14" s="133"/>
      <c r="V14" s="133"/>
      <c r="W14" s="133"/>
      <c r="X14" s="133"/>
      <c r="Y14" s="133"/>
      <c r="Z14" s="133"/>
      <c r="AJ14" s="292"/>
      <c r="AK14" s="292"/>
      <c r="AL14" s="292"/>
      <c r="AM14" s="292"/>
      <c r="AN14" s="292"/>
    </row>
    <row r="15" spans="1:40" x14ac:dyDescent="0.25">
      <c r="A15" s="293"/>
      <c r="B15" s="456" t="str">
        <f>B84</f>
        <v>Administrations - duration of administrations (hours)</v>
      </c>
      <c r="C15" s="463"/>
      <c r="D15" s="431">
        <f t="shared" ref="D15:I15" si="5">D91</f>
        <v>34749.845295000581</v>
      </c>
      <c r="E15" s="431">
        <f t="shared" si="5"/>
        <v>35353.320448363287</v>
      </c>
      <c r="F15" s="431">
        <f t="shared" si="5"/>
        <v>38951.186143609819</v>
      </c>
      <c r="G15" s="431">
        <f t="shared" si="5"/>
        <v>44425.887653319143</v>
      </c>
      <c r="H15" s="431">
        <f t="shared" si="5"/>
        <v>49807.647013362854</v>
      </c>
      <c r="I15" s="431">
        <f t="shared" si="5"/>
        <v>52792.443317153025</v>
      </c>
      <c r="J15" s="133"/>
      <c r="K15" s="133"/>
      <c r="L15" s="299">
        <f>L91</f>
        <v>1354.8964680520726</v>
      </c>
      <c r="M15" s="299">
        <f t="shared" ref="M15:Q15" si="6">M91</f>
        <v>1378.4259642816846</v>
      </c>
      <c r="N15" s="299">
        <f t="shared" si="6"/>
        <v>1518.7067477393471</v>
      </c>
      <c r="O15" s="299">
        <f t="shared" si="6"/>
        <v>1732.1653596029132</v>
      </c>
      <c r="P15" s="299">
        <f t="shared" si="6"/>
        <v>1942.0001570510178</v>
      </c>
      <c r="Q15" s="299">
        <f t="shared" si="6"/>
        <v>2058.3773649357968</v>
      </c>
      <c r="R15" s="133"/>
      <c r="S15" s="133"/>
      <c r="T15" s="133"/>
      <c r="U15" s="133"/>
      <c r="V15" s="133"/>
      <c r="W15" s="133"/>
      <c r="X15" s="133"/>
      <c r="Y15" s="133"/>
      <c r="Z15" s="133"/>
      <c r="AJ15" s="292"/>
      <c r="AK15" s="292"/>
      <c r="AL15" s="292"/>
      <c r="AM15" s="292"/>
      <c r="AN15" s="292"/>
    </row>
    <row r="16" spans="1:40" x14ac:dyDescent="0.25">
      <c r="A16" s="293"/>
      <c r="B16" s="456" t="str">
        <f>B94</f>
        <v>Preparation time before administration (hours)</v>
      </c>
      <c r="C16" s="463"/>
      <c r="D16" s="431">
        <f t="shared" ref="D16:I16" si="7">D101</f>
        <v>41526.819740377541</v>
      </c>
      <c r="E16" s="431">
        <f t="shared" si="7"/>
        <v>42166.908087454183</v>
      </c>
      <c r="F16" s="431">
        <f t="shared" si="7"/>
        <v>45410.689001161678</v>
      </c>
      <c r="G16" s="431">
        <f t="shared" si="7"/>
        <v>50487.95959902586</v>
      </c>
      <c r="H16" s="431">
        <f t="shared" si="7"/>
        <v>55482.351320682967</v>
      </c>
      <c r="I16" s="431">
        <f t="shared" si="7"/>
        <v>58397.205539418719</v>
      </c>
      <c r="J16" s="133"/>
      <c r="K16" s="133"/>
      <c r="L16" s="299">
        <f>L101</f>
        <v>1619.1307016773208</v>
      </c>
      <c r="M16" s="299">
        <f t="shared" ref="M16:Q16" si="8">M101</f>
        <v>1644.0877463298389</v>
      </c>
      <c r="N16" s="299">
        <f t="shared" si="8"/>
        <v>1770.562764155294</v>
      </c>
      <c r="O16" s="299">
        <f t="shared" si="8"/>
        <v>1968.5255447660184</v>
      </c>
      <c r="P16" s="299">
        <f t="shared" si="8"/>
        <v>2163.2568779934286</v>
      </c>
      <c r="Q16" s="299">
        <f t="shared" si="8"/>
        <v>2276.9070439819357</v>
      </c>
      <c r="R16" s="133"/>
      <c r="S16" s="133"/>
      <c r="T16" s="133"/>
      <c r="U16" s="133"/>
      <c r="V16" s="133"/>
      <c r="W16" s="133"/>
      <c r="X16" s="133"/>
      <c r="Y16" s="133"/>
      <c r="Z16" s="133"/>
      <c r="AJ16" s="292"/>
      <c r="AK16" s="292"/>
      <c r="AL16" s="292"/>
      <c r="AM16" s="292"/>
      <c r="AN16" s="292"/>
    </row>
    <row r="17" spans="1:40" x14ac:dyDescent="0.25">
      <c r="A17" s="293"/>
      <c r="B17" s="456" t="str">
        <f>B104</f>
        <v>Post administration nursing time (hours)</v>
      </c>
      <c r="C17" s="463"/>
      <c r="D17" s="431">
        <f t="shared" ref="D17:I17" si="9">D111</f>
        <v>41526.819740377541</v>
      </c>
      <c r="E17" s="432">
        <f t="shared" si="9"/>
        <v>42166.908087454183</v>
      </c>
      <c r="F17" s="431">
        <f t="shared" si="9"/>
        <v>45410.689001161678</v>
      </c>
      <c r="G17" s="431">
        <f t="shared" si="9"/>
        <v>50487.95959902586</v>
      </c>
      <c r="H17" s="431">
        <f t="shared" si="9"/>
        <v>55482.351320682967</v>
      </c>
      <c r="I17" s="431">
        <f t="shared" si="9"/>
        <v>58397.205539418719</v>
      </c>
      <c r="J17" s="133"/>
      <c r="K17" s="133"/>
      <c r="L17" s="299">
        <f>L111</f>
        <v>1619.1307016773208</v>
      </c>
      <c r="M17" s="299">
        <f t="shared" ref="M17:Q17" si="10">M111</f>
        <v>1644.0877463298389</v>
      </c>
      <c r="N17" s="299">
        <f t="shared" si="10"/>
        <v>1770.562764155294</v>
      </c>
      <c r="O17" s="299">
        <f t="shared" si="10"/>
        <v>1968.5255447660184</v>
      </c>
      <c r="P17" s="299">
        <f t="shared" si="10"/>
        <v>2163.2568779934286</v>
      </c>
      <c r="Q17" s="299">
        <f t="shared" si="10"/>
        <v>2276.9070439819357</v>
      </c>
      <c r="R17" s="133"/>
      <c r="S17" s="133"/>
      <c r="T17" s="133"/>
      <c r="U17" s="133"/>
      <c r="V17" s="133"/>
      <c r="W17" s="133"/>
      <c r="X17" s="133"/>
      <c r="Y17" s="133"/>
      <c r="Z17" s="133"/>
      <c r="AJ17" s="292"/>
      <c r="AK17" s="292"/>
      <c r="AL17" s="292"/>
      <c r="AM17" s="292"/>
      <c r="AN17" s="292"/>
    </row>
    <row r="18" spans="1:40" hidden="1" x14ac:dyDescent="0.25">
      <c r="A18" s="295"/>
      <c r="B18" s="457" t="str">
        <f>B115</f>
        <v>In-house aseptic unit preparations, number made</v>
      </c>
      <c r="C18" s="464"/>
      <c r="D18" s="433" t="e">
        <f t="shared" ref="D18:I18" si="11">D120</f>
        <v>#REF!</v>
      </c>
      <c r="E18" s="433" t="e">
        <f t="shared" si="11"/>
        <v>#REF!</v>
      </c>
      <c r="F18" s="433" t="e">
        <f t="shared" si="11"/>
        <v>#REF!</v>
      </c>
      <c r="G18" s="433" t="e">
        <f t="shared" si="11"/>
        <v>#REF!</v>
      </c>
      <c r="H18" s="433" t="e">
        <f t="shared" si="11"/>
        <v>#REF!</v>
      </c>
      <c r="I18" s="433" t="e">
        <f t="shared" si="11"/>
        <v>#REF!</v>
      </c>
      <c r="J18" s="133"/>
      <c r="K18" s="133"/>
      <c r="L18" s="209"/>
      <c r="M18" s="209"/>
      <c r="N18" s="209"/>
      <c r="O18" s="209"/>
      <c r="P18" s="428"/>
      <c r="Q18" s="428"/>
      <c r="R18" s="133"/>
      <c r="S18" s="133"/>
      <c r="T18" s="133"/>
      <c r="U18" s="133"/>
      <c r="V18" s="133"/>
      <c r="W18" s="133"/>
      <c r="X18" s="133"/>
      <c r="Y18" s="133"/>
      <c r="Z18" s="133"/>
      <c r="AJ18" s="292"/>
      <c r="AK18" s="292"/>
      <c r="AL18" s="292"/>
      <c r="AM18" s="292"/>
      <c r="AN18" s="292"/>
    </row>
    <row r="19" spans="1:40" hidden="1" x14ac:dyDescent="0.25">
      <c r="A19" s="295"/>
      <c r="B19" s="457" t="str">
        <f>B123</f>
        <v>Bought-in aseptic unit preparations, number bought in</v>
      </c>
      <c r="C19" s="464"/>
      <c r="D19" s="433" t="e">
        <f t="shared" ref="D19:I19" si="12">D128</f>
        <v>#REF!</v>
      </c>
      <c r="E19" s="433" t="e">
        <f t="shared" si="12"/>
        <v>#REF!</v>
      </c>
      <c r="F19" s="433" t="e">
        <f t="shared" si="12"/>
        <v>#REF!</v>
      </c>
      <c r="G19" s="433" t="e">
        <f t="shared" si="12"/>
        <v>#REF!</v>
      </c>
      <c r="H19" s="433" t="e">
        <f t="shared" si="12"/>
        <v>#REF!</v>
      </c>
      <c r="I19" s="433" t="e">
        <f t="shared" si="12"/>
        <v>#REF!</v>
      </c>
      <c r="J19" s="133"/>
      <c r="K19" s="133"/>
      <c r="L19" s="209"/>
      <c r="M19" s="209"/>
      <c r="N19" s="209"/>
      <c r="O19" s="209"/>
      <c r="P19" s="428"/>
      <c r="Q19" s="428"/>
      <c r="R19" s="133"/>
      <c r="S19" s="133"/>
      <c r="T19" s="133"/>
      <c r="U19" s="133"/>
      <c r="V19" s="133"/>
      <c r="W19" s="133"/>
      <c r="X19" s="133"/>
      <c r="Y19" s="133"/>
      <c r="Z19" s="133"/>
      <c r="AJ19" s="292"/>
      <c r="AK19" s="292"/>
      <c r="AL19" s="292"/>
      <c r="AM19" s="292"/>
      <c r="AN19" s="292"/>
    </row>
    <row r="20" spans="1:40" hidden="1" x14ac:dyDescent="0.25">
      <c r="A20" s="295"/>
      <c r="B20" s="457" t="str">
        <f>B131</f>
        <v>In-house aseptic unit preparations, pharmacy time (hours)</v>
      </c>
      <c r="C20" s="464"/>
      <c r="D20" s="433" t="e">
        <f t="shared" ref="D20:I20" si="13">D136</f>
        <v>#REF!</v>
      </c>
      <c r="E20" s="433" t="e">
        <f t="shared" si="13"/>
        <v>#REF!</v>
      </c>
      <c r="F20" s="433" t="e">
        <f t="shared" si="13"/>
        <v>#REF!</v>
      </c>
      <c r="G20" s="433" t="e">
        <f t="shared" si="13"/>
        <v>#REF!</v>
      </c>
      <c r="H20" s="433" t="e">
        <f t="shared" si="13"/>
        <v>#REF!</v>
      </c>
      <c r="I20" s="433" t="e">
        <f t="shared" si="13"/>
        <v>#REF!</v>
      </c>
      <c r="J20" s="133"/>
      <c r="K20" s="133"/>
      <c r="L20" s="209"/>
      <c r="M20" s="209"/>
      <c r="N20" s="209"/>
      <c r="O20" s="209"/>
      <c r="P20" s="428"/>
      <c r="Q20" s="428"/>
      <c r="R20" s="133"/>
      <c r="S20" s="133"/>
      <c r="T20" s="133"/>
      <c r="U20" s="133"/>
      <c r="V20" s="133"/>
      <c r="W20" s="133"/>
      <c r="X20" s="133"/>
      <c r="Y20" s="133"/>
      <c r="Z20" s="133"/>
      <c r="AJ20" s="292"/>
      <c r="AK20" s="292"/>
      <c r="AL20" s="292"/>
      <c r="AM20" s="292"/>
      <c r="AN20" s="292"/>
    </row>
    <row r="21" spans="1:40" hidden="1" x14ac:dyDescent="0.25">
      <c r="A21" s="295"/>
      <c r="B21" s="457" t="str">
        <f>B139</f>
        <v>Bought-in aseptic unit preparations, pharmacy time (hours)</v>
      </c>
      <c r="C21" s="464"/>
      <c r="D21" s="433" t="e">
        <f t="shared" ref="D21:I21" si="14">D144</f>
        <v>#REF!</v>
      </c>
      <c r="E21" s="433" t="e">
        <f t="shared" si="14"/>
        <v>#REF!</v>
      </c>
      <c r="F21" s="433" t="e">
        <f t="shared" si="14"/>
        <v>#REF!</v>
      </c>
      <c r="G21" s="433" t="e">
        <f t="shared" si="14"/>
        <v>#REF!</v>
      </c>
      <c r="H21" s="433" t="e">
        <f t="shared" si="14"/>
        <v>#REF!</v>
      </c>
      <c r="I21" s="433" t="e">
        <f t="shared" si="14"/>
        <v>#REF!</v>
      </c>
      <c r="J21" s="133"/>
      <c r="K21" s="133"/>
      <c r="L21" s="209"/>
      <c r="M21" s="209"/>
      <c r="N21" s="209"/>
      <c r="O21" s="209"/>
      <c r="P21" s="428"/>
      <c r="Q21" s="428"/>
      <c r="R21" s="133"/>
      <c r="S21" s="133"/>
      <c r="T21" s="133"/>
      <c r="U21" s="133"/>
      <c r="V21" s="133"/>
      <c r="W21" s="133"/>
      <c r="X21" s="133"/>
      <c r="Y21" s="133"/>
      <c r="Z21" s="133"/>
      <c r="AJ21" s="292"/>
      <c r="AK21" s="292"/>
      <c r="AL21" s="292"/>
      <c r="AM21" s="292"/>
      <c r="AN21" s="292"/>
    </row>
    <row r="22" spans="1:40" x14ac:dyDescent="0.25">
      <c r="A22" s="295"/>
      <c r="B22" s="457" t="str">
        <f>B147</f>
        <v>Drug regimen prep (hours) (including aseptics)</v>
      </c>
      <c r="C22" s="464"/>
      <c r="D22" s="433">
        <f t="shared" ref="D22:I22" si="15">D154</f>
        <v>0</v>
      </c>
      <c r="E22" s="433">
        <f t="shared" si="15"/>
        <v>0</v>
      </c>
      <c r="F22" s="433">
        <f t="shared" si="15"/>
        <v>0</v>
      </c>
      <c r="G22" s="433">
        <f t="shared" si="15"/>
        <v>0</v>
      </c>
      <c r="H22" s="433">
        <f t="shared" si="15"/>
        <v>0</v>
      </c>
      <c r="I22" s="433">
        <f t="shared" si="15"/>
        <v>0</v>
      </c>
      <c r="J22" s="133"/>
      <c r="K22" s="133"/>
      <c r="L22" s="209"/>
      <c r="M22" s="209"/>
      <c r="N22" s="209"/>
      <c r="O22" s="209"/>
      <c r="P22" s="428"/>
      <c r="Q22" s="428"/>
      <c r="R22" s="133"/>
      <c r="S22" s="133"/>
      <c r="T22" s="133"/>
      <c r="U22" s="133"/>
      <c r="V22" s="133"/>
      <c r="W22" s="133"/>
      <c r="X22" s="133"/>
      <c r="Y22" s="133"/>
      <c r="Z22" s="133"/>
      <c r="AJ22" s="292"/>
      <c r="AK22" s="292"/>
      <c r="AL22" s="292"/>
      <c r="AM22" s="292"/>
      <c r="AN22" s="292"/>
    </row>
    <row r="23" spans="1:40" x14ac:dyDescent="0.25">
      <c r="A23" s="338"/>
      <c r="B23" s="459" t="str">
        <f>B158</f>
        <v>Appointments with x specialty</v>
      </c>
      <c r="C23" s="465"/>
      <c r="D23" s="437">
        <f t="shared" ref="D23:I23" si="16">D165</f>
        <v>0</v>
      </c>
      <c r="E23" s="437">
        <f t="shared" si="16"/>
        <v>0</v>
      </c>
      <c r="F23" s="437">
        <f t="shared" si="16"/>
        <v>0</v>
      </c>
      <c r="G23" s="437">
        <f t="shared" si="16"/>
        <v>0</v>
      </c>
      <c r="H23" s="437">
        <f t="shared" si="16"/>
        <v>0</v>
      </c>
      <c r="I23" s="437">
        <f t="shared" si="16"/>
        <v>0</v>
      </c>
      <c r="J23" s="133"/>
      <c r="K23" s="133"/>
      <c r="L23" s="299">
        <f>L165</f>
        <v>0</v>
      </c>
      <c r="M23" s="299">
        <f t="shared" ref="M23:P23" si="17">M165</f>
        <v>0</v>
      </c>
      <c r="N23" s="299">
        <f t="shared" si="17"/>
        <v>0</v>
      </c>
      <c r="O23" s="299">
        <f t="shared" si="17"/>
        <v>0</v>
      </c>
      <c r="P23" s="299">
        <f t="shared" si="17"/>
        <v>0</v>
      </c>
      <c r="Q23" s="299">
        <f>Q165</f>
        <v>0</v>
      </c>
      <c r="R23" s="133"/>
      <c r="S23" s="133"/>
      <c r="T23" s="133"/>
      <c r="U23" s="133"/>
      <c r="V23" s="133"/>
      <c r="W23" s="133"/>
      <c r="X23" s="133"/>
      <c r="Y23" s="133"/>
      <c r="Z23" s="133"/>
      <c r="AJ23" s="292"/>
      <c r="AK23" s="292"/>
      <c r="AL23" s="292"/>
      <c r="AM23" s="292"/>
      <c r="AN23" s="292"/>
    </row>
    <row r="24" spans="1:40" x14ac:dyDescent="0.25">
      <c r="A24" s="296"/>
      <c r="B24" s="460" t="s">
        <v>1164</v>
      </c>
      <c r="C24" s="466"/>
      <c r="D24" s="438">
        <f t="shared" ref="D24:I24" si="18">D176</f>
        <v>40571.921663059387</v>
      </c>
      <c r="E24" s="438">
        <f t="shared" si="18"/>
        <v>40800.668656469956</v>
      </c>
      <c r="F24" s="438">
        <f t="shared" si="18"/>
        <v>40401.771309543721</v>
      </c>
      <c r="G24" s="438">
        <f t="shared" si="18"/>
        <v>39612.357436740604</v>
      </c>
      <c r="H24" s="438">
        <f t="shared" si="18"/>
        <v>38945.28233178558</v>
      </c>
      <c r="I24" s="438">
        <f t="shared" si="18"/>
        <v>38261.66106630992</v>
      </c>
      <c r="J24" s="133"/>
      <c r="K24" s="133"/>
      <c r="L24" s="299">
        <f t="shared" ref="L24:Q24" si="19">L176</f>
        <v>0</v>
      </c>
      <c r="M24" s="299">
        <f t="shared" si="19"/>
        <v>0</v>
      </c>
      <c r="N24" s="299">
        <f t="shared" si="19"/>
        <v>0</v>
      </c>
      <c r="O24" s="299">
        <f t="shared" si="19"/>
        <v>0</v>
      </c>
      <c r="P24" s="299">
        <f t="shared" si="19"/>
        <v>0</v>
      </c>
      <c r="Q24" s="299">
        <f t="shared" si="19"/>
        <v>0</v>
      </c>
      <c r="R24" s="133"/>
      <c r="S24" s="133"/>
      <c r="T24" s="133"/>
      <c r="U24" s="133"/>
      <c r="V24" s="133"/>
      <c r="W24" s="133"/>
      <c r="X24" s="133"/>
      <c r="Y24" s="133"/>
      <c r="Z24" s="133"/>
      <c r="AJ24" s="292"/>
      <c r="AK24" s="292"/>
      <c r="AL24" s="292"/>
      <c r="AM24" s="292"/>
      <c r="AN24" s="292"/>
    </row>
    <row r="25" spans="1:40" x14ac:dyDescent="0.25">
      <c r="A25" s="296"/>
      <c r="B25" s="460" t="s">
        <v>1165</v>
      </c>
      <c r="C25" s="466"/>
      <c r="D25" s="438">
        <f t="shared" ref="D25:I25" si="20">D186</f>
        <v>36707.929123720394</v>
      </c>
      <c r="E25" s="438">
        <f t="shared" si="20"/>
        <v>37207.238556772732</v>
      </c>
      <c r="F25" s="438">
        <f t="shared" si="20"/>
        <v>36833.615109455168</v>
      </c>
      <c r="G25" s="438">
        <f t="shared" si="20"/>
        <v>36090.709919625944</v>
      </c>
      <c r="H25" s="438">
        <f t="shared" si="20"/>
        <v>35457.91326014795</v>
      </c>
      <c r="I25" s="438">
        <f t="shared" si="20"/>
        <v>34809.558840520884</v>
      </c>
      <c r="J25" s="133"/>
      <c r="K25" s="133"/>
      <c r="L25" s="299">
        <f t="shared" ref="L25:Q25" si="21">L186</f>
        <v>0</v>
      </c>
      <c r="M25" s="299">
        <f t="shared" si="21"/>
        <v>0</v>
      </c>
      <c r="N25" s="299">
        <f t="shared" si="21"/>
        <v>0</v>
      </c>
      <c r="O25" s="299">
        <f t="shared" si="21"/>
        <v>0</v>
      </c>
      <c r="P25" s="299">
        <f t="shared" si="21"/>
        <v>0</v>
      </c>
      <c r="Q25" s="299">
        <f t="shared" si="21"/>
        <v>0</v>
      </c>
      <c r="R25" s="133"/>
      <c r="S25" s="133"/>
      <c r="T25" s="133"/>
      <c r="U25" s="133"/>
      <c r="V25" s="133"/>
      <c r="W25" s="133"/>
      <c r="X25" s="133"/>
      <c r="Y25" s="133"/>
      <c r="Z25" s="133"/>
      <c r="AJ25" s="292"/>
      <c r="AK25" s="292"/>
      <c r="AL25" s="292"/>
      <c r="AM25" s="292"/>
      <c r="AN25" s="292"/>
    </row>
    <row r="26" spans="1:40" x14ac:dyDescent="0.25">
      <c r="A26" s="296"/>
      <c r="B26" s="460" t="s">
        <v>1166</v>
      </c>
      <c r="C26" s="466"/>
      <c r="D26" s="438">
        <f t="shared" ref="D26:I26" si="22">D196</f>
        <v>23183.955236033933</v>
      </c>
      <c r="E26" s="438">
        <f t="shared" si="22"/>
        <v>24630.233207832443</v>
      </c>
      <c r="F26" s="438">
        <f t="shared" si="22"/>
        <v>24345.068409145235</v>
      </c>
      <c r="G26" s="438">
        <f t="shared" si="22"/>
        <v>23764.943609724622</v>
      </c>
      <c r="H26" s="438">
        <f t="shared" si="22"/>
        <v>23252.121509416243</v>
      </c>
      <c r="I26" s="438">
        <f t="shared" si="22"/>
        <v>22727.201050259224</v>
      </c>
      <c r="J26" s="133"/>
      <c r="K26" s="133"/>
      <c r="L26" s="299">
        <f t="shared" ref="L26:Q26" si="23">L196</f>
        <v>0</v>
      </c>
      <c r="M26" s="299">
        <f t="shared" si="23"/>
        <v>0</v>
      </c>
      <c r="N26" s="299">
        <f t="shared" si="23"/>
        <v>0</v>
      </c>
      <c r="O26" s="299">
        <f t="shared" si="23"/>
        <v>0</v>
      </c>
      <c r="P26" s="299">
        <f t="shared" si="23"/>
        <v>0</v>
      </c>
      <c r="Q26" s="299">
        <f t="shared" si="23"/>
        <v>0</v>
      </c>
      <c r="R26" s="133"/>
      <c r="S26" s="133"/>
      <c r="T26" s="133"/>
      <c r="U26" s="133"/>
      <c r="V26" s="133"/>
      <c r="W26" s="133"/>
      <c r="X26" s="133"/>
      <c r="Y26" s="133"/>
      <c r="Z26" s="133"/>
      <c r="AJ26" s="292"/>
      <c r="AK26" s="292"/>
      <c r="AL26" s="292"/>
      <c r="AM26" s="292"/>
      <c r="AN26" s="292"/>
    </row>
    <row r="27" spans="1:40" x14ac:dyDescent="0.25">
      <c r="A27" s="296"/>
      <c r="B27" s="461" t="s">
        <v>1167</v>
      </c>
      <c r="C27" s="447"/>
      <c r="D27" s="438">
        <f t="shared" ref="D27:I27" si="24">D206</f>
        <v>25115.951505703426</v>
      </c>
      <c r="E27" s="438">
        <f t="shared" si="24"/>
        <v>26426.948257681055</v>
      </c>
      <c r="F27" s="438">
        <f t="shared" si="24"/>
        <v>26129.146509189508</v>
      </c>
      <c r="G27" s="438">
        <f t="shared" si="24"/>
        <v>25525.767368281948</v>
      </c>
      <c r="H27" s="438">
        <f t="shared" si="24"/>
        <v>24995.806045235055</v>
      </c>
      <c r="I27" s="438">
        <f t="shared" si="24"/>
        <v>24453.252163153742</v>
      </c>
      <c r="J27" s="133"/>
      <c r="K27" s="133"/>
      <c r="L27" s="299">
        <f t="shared" ref="L27:Q27" si="25">L206</f>
        <v>0</v>
      </c>
      <c r="M27" s="299">
        <f t="shared" si="25"/>
        <v>0</v>
      </c>
      <c r="N27" s="299">
        <f t="shared" si="25"/>
        <v>0</v>
      </c>
      <c r="O27" s="299">
        <f t="shared" si="25"/>
        <v>0</v>
      </c>
      <c r="P27" s="299">
        <f t="shared" si="25"/>
        <v>0</v>
      </c>
      <c r="Q27" s="299">
        <f t="shared" si="25"/>
        <v>0</v>
      </c>
      <c r="R27" s="133"/>
      <c r="S27" s="133"/>
      <c r="T27" s="133"/>
      <c r="U27" s="133"/>
      <c r="V27" s="133"/>
      <c r="W27" s="133"/>
      <c r="X27" s="133"/>
      <c r="Y27" s="133"/>
      <c r="Z27" s="133"/>
    </row>
    <row r="28" spans="1:40" x14ac:dyDescent="0.25">
      <c r="A28" s="297"/>
      <c r="B28" s="462" t="str">
        <f>B210</f>
        <v>Adverse events, various (cases)</v>
      </c>
      <c r="C28" s="444"/>
      <c r="D28" s="439">
        <f t="shared" ref="D28:I28" si="26">D229</f>
        <v>1178.9774657115706</v>
      </c>
      <c r="E28" s="439">
        <f t="shared" si="26"/>
        <v>1307.4605130982677</v>
      </c>
      <c r="F28" s="439">
        <f t="shared" si="26"/>
        <v>1467.1256035757094</v>
      </c>
      <c r="G28" s="439">
        <f t="shared" si="26"/>
        <v>1617.9378830177109</v>
      </c>
      <c r="H28" s="439">
        <f t="shared" si="26"/>
        <v>1771.5219778563287</v>
      </c>
      <c r="I28" s="439">
        <f t="shared" si="26"/>
        <v>1788.6026516849379</v>
      </c>
      <c r="J28" s="133"/>
      <c r="K28" s="133"/>
      <c r="L28" s="299">
        <f t="shared" ref="L28:P28" si="27">L229</f>
        <v>1066.7423945440019</v>
      </c>
      <c r="M28" s="299">
        <f t="shared" si="27"/>
        <v>1221.328708532405</v>
      </c>
      <c r="N28" s="299">
        <f t="shared" si="27"/>
        <v>1409.5691725351005</v>
      </c>
      <c r="O28" s="299">
        <f t="shared" si="27"/>
        <v>1587.4999195416835</v>
      </c>
      <c r="P28" s="299">
        <f t="shared" si="27"/>
        <v>1768.7307747328557</v>
      </c>
      <c r="Q28" s="299">
        <f>Q229</f>
        <v>1785.7845363183551</v>
      </c>
      <c r="R28" s="133"/>
      <c r="S28" s="133"/>
      <c r="T28" s="133"/>
      <c r="U28" s="133"/>
      <c r="V28" s="133"/>
      <c r="W28" s="133"/>
      <c r="X28" s="133"/>
      <c r="Y28" s="133"/>
      <c r="Z28" s="133"/>
    </row>
    <row r="29" spans="1:40" x14ac:dyDescent="0.25">
      <c r="B29" s="250"/>
      <c r="D29" s="292"/>
      <c r="F29" s="133"/>
      <c r="G29" s="133"/>
      <c r="H29" s="133"/>
      <c r="I29" s="133"/>
      <c r="J29" s="133"/>
      <c r="K29" s="133"/>
      <c r="L29" s="300">
        <f t="shared" ref="L29:P29" si="28">SUM(L10:L28)</f>
        <v>5849.7194160308918</v>
      </c>
      <c r="M29" s="300">
        <f t="shared" si="28"/>
        <v>6076.4440132907148</v>
      </c>
      <c r="N29" s="300">
        <f t="shared" si="28"/>
        <v>6654.1841845355739</v>
      </c>
      <c r="O29" s="300">
        <f t="shared" si="28"/>
        <v>7439.881011250518</v>
      </c>
      <c r="P29" s="300">
        <f t="shared" si="28"/>
        <v>8218.5063172854407</v>
      </c>
      <c r="Q29" s="300">
        <f>SUM(Q10:Q28)</f>
        <v>8582.9246892604642</v>
      </c>
      <c r="R29" s="133"/>
      <c r="S29" s="133"/>
      <c r="T29" s="133"/>
      <c r="U29" s="133"/>
      <c r="V29" s="133"/>
      <c r="W29" s="133"/>
      <c r="X29" s="133"/>
      <c r="Y29" s="133"/>
      <c r="Z29" s="133"/>
    </row>
    <row r="30" spans="1:40" x14ac:dyDescent="0.25">
      <c r="B30" s="327"/>
      <c r="C30" s="327"/>
      <c r="D30" s="327"/>
      <c r="E30" s="327"/>
      <c r="F30" s="327"/>
      <c r="G30" s="327"/>
      <c r="H30" s="327"/>
      <c r="I30" s="327"/>
      <c r="J30" s="327"/>
      <c r="K30" s="327"/>
      <c r="L30" s="327"/>
      <c r="P30" s="133"/>
      <c r="Q30" s="133"/>
      <c r="R30" s="133"/>
      <c r="S30" s="133"/>
      <c r="V30" s="133"/>
      <c r="W30" s="133"/>
      <c r="X30" s="133"/>
      <c r="Y30" s="133"/>
      <c r="Z30" s="133"/>
      <c r="AJ30" s="292"/>
      <c r="AK30" s="292"/>
      <c r="AL30" s="292"/>
      <c r="AM30" s="292"/>
      <c r="AN30" s="292"/>
    </row>
    <row r="31" spans="1:40" x14ac:dyDescent="0.25">
      <c r="B31" s="383" t="s">
        <v>751</v>
      </c>
      <c r="C31" s="384"/>
      <c r="D31" s="384"/>
      <c r="E31" s="385"/>
      <c r="F31" s="384"/>
      <c r="G31" s="386"/>
      <c r="H31" s="387"/>
      <c r="I31" s="387"/>
      <c r="J31" s="387"/>
      <c r="K31" s="387"/>
      <c r="L31" s="387"/>
      <c r="M31" s="387"/>
      <c r="N31" s="387"/>
      <c r="O31" s="387"/>
      <c r="P31" s="387"/>
      <c r="Q31" s="388"/>
      <c r="R31" s="133"/>
      <c r="S31" s="133"/>
      <c r="T31" s="133"/>
      <c r="U31" s="133"/>
      <c r="V31" s="133"/>
      <c r="W31" s="133"/>
      <c r="X31" s="133"/>
      <c r="Y31" s="133"/>
      <c r="Z31" s="133"/>
      <c r="AJ31" s="292"/>
      <c r="AK31" s="292"/>
      <c r="AL31" s="292"/>
      <c r="AM31" s="292"/>
      <c r="AN31" s="292"/>
    </row>
    <row r="32" spans="1:40" x14ac:dyDescent="0.25">
      <c r="A32" s="294"/>
      <c r="B32" s="739"/>
      <c r="C32" s="734"/>
      <c r="D32" s="735"/>
      <c r="E32" s="736"/>
      <c r="F32" s="294"/>
      <c r="G32" s="294"/>
      <c r="H32" s="221"/>
      <c r="I32" s="221"/>
      <c r="J32" s="221"/>
      <c r="K32" s="221"/>
      <c r="L32" s="221"/>
      <c r="M32" s="221"/>
      <c r="N32" s="221"/>
      <c r="O32" s="221"/>
      <c r="P32" s="221"/>
      <c r="Q32" s="221"/>
      <c r="R32" s="133"/>
      <c r="S32" s="133"/>
      <c r="T32" s="133"/>
      <c r="U32" s="133"/>
      <c r="V32" s="133"/>
      <c r="W32" s="133"/>
      <c r="X32" s="133"/>
      <c r="Y32" s="133"/>
      <c r="Z32" s="133"/>
      <c r="AJ32" s="292"/>
      <c r="AK32" s="292"/>
      <c r="AL32" s="292"/>
      <c r="AM32" s="292"/>
      <c r="AN32" s="292"/>
    </row>
    <row r="33" spans="1:40" x14ac:dyDescent="0.25">
      <c r="A33" s="294"/>
      <c r="B33" s="733" t="s">
        <v>1168</v>
      </c>
      <c r="C33" s="734"/>
      <c r="D33" s="735"/>
      <c r="E33" s="736"/>
      <c r="F33" s="294"/>
      <c r="G33" s="294"/>
      <c r="H33" s="221"/>
      <c r="I33" s="221"/>
      <c r="J33" s="221"/>
      <c r="K33" s="221"/>
      <c r="L33" s="221"/>
      <c r="M33" s="221"/>
      <c r="N33" s="221"/>
      <c r="O33" s="221"/>
      <c r="P33" s="221"/>
      <c r="Q33" s="221"/>
      <c r="R33" s="133"/>
      <c r="S33" s="133"/>
      <c r="V33" s="133"/>
    </row>
    <row r="34" spans="1:40" x14ac:dyDescent="0.25">
      <c r="A34" s="737"/>
      <c r="B34" s="738" t="s">
        <v>1309</v>
      </c>
      <c r="C34" s="406"/>
      <c r="D34" s="406"/>
      <c r="E34" s="406"/>
      <c r="F34" s="406"/>
      <c r="G34" s="406"/>
      <c r="H34" s="406"/>
      <c r="I34" s="220"/>
      <c r="J34" s="221"/>
      <c r="K34" s="221"/>
      <c r="L34" s="221"/>
      <c r="M34" s="221"/>
      <c r="N34" s="221"/>
      <c r="O34" s="221"/>
      <c r="P34" s="221"/>
      <c r="Q34" s="221"/>
      <c r="R34" s="133"/>
      <c r="S34" s="133"/>
      <c r="T34" s="133"/>
      <c r="U34" s="133"/>
      <c r="V34" s="133"/>
      <c r="W34" s="133"/>
      <c r="X34" s="133"/>
      <c r="Y34" s="133"/>
      <c r="Z34" s="133"/>
      <c r="AJ34" s="292"/>
      <c r="AK34" s="292"/>
      <c r="AL34" s="292"/>
      <c r="AM34" s="292"/>
      <c r="AN34" s="292"/>
    </row>
    <row r="35" spans="1:40" ht="45" x14ac:dyDescent="0.25">
      <c r="A35" s="737"/>
      <c r="B35" s="326" t="s">
        <v>131</v>
      </c>
      <c r="C35" s="166" t="s">
        <v>1308</v>
      </c>
      <c r="D35" s="434" t="s">
        <v>743</v>
      </c>
      <c r="E35" s="261" t="s">
        <v>51</v>
      </c>
      <c r="F35" s="261" t="s">
        <v>52</v>
      </c>
      <c r="G35" s="165" t="s">
        <v>744</v>
      </c>
      <c r="H35" s="165" t="s">
        <v>745</v>
      </c>
      <c r="I35" s="261" t="s">
        <v>746</v>
      </c>
      <c r="J35" s="742"/>
      <c r="K35" s="746" t="s">
        <v>1252</v>
      </c>
      <c r="L35" s="434" t="s">
        <v>743</v>
      </c>
      <c r="M35" s="261" t="s">
        <v>51</v>
      </c>
      <c r="N35" s="261" t="s">
        <v>52</v>
      </c>
      <c r="O35" s="165" t="s">
        <v>744</v>
      </c>
      <c r="P35" s="165" t="s">
        <v>745</v>
      </c>
      <c r="Q35" s="261" t="s">
        <v>746</v>
      </c>
      <c r="R35" s="133"/>
      <c r="S35" s="133"/>
      <c r="T35" s="133"/>
      <c r="U35" s="133"/>
      <c r="V35" s="133"/>
      <c r="W35" s="133"/>
      <c r="X35" s="133"/>
      <c r="Y35" s="133"/>
      <c r="Z35" s="133"/>
      <c r="AJ35" s="292"/>
      <c r="AK35" s="292"/>
      <c r="AL35" s="292"/>
      <c r="AM35" s="292"/>
      <c r="AN35" s="292"/>
    </row>
    <row r="36" spans="1:40" x14ac:dyDescent="0.25">
      <c r="A36" s="737"/>
      <c r="B36" s="358" t="s">
        <v>1247</v>
      </c>
      <c r="C36" s="704">
        <f>'Inputs and eligible population'!F99</f>
        <v>20</v>
      </c>
      <c r="D36" s="128">
        <f>'Capacity (national prices) 2nd'!D34*'Capacity (local prices) 2nd'!$C36/60</f>
        <v>0</v>
      </c>
      <c r="E36" s="128">
        <f>'Capacity (national prices) 2nd'!E34*'Capacity (local prices) 2nd'!$C36/60</f>
        <v>39.713260133419553</v>
      </c>
      <c r="F36" s="128">
        <f>'Capacity (national prices) 2nd'!F34*'Capacity (local prices) 2nd'!$C36/60</f>
        <v>87.37756874203906</v>
      </c>
      <c r="G36" s="128">
        <f>'Capacity (national prices) 2nd'!G34*'Capacity (local prices) 2nd'!$C36/60</f>
        <v>132.33006965477404</v>
      </c>
      <c r="H36" s="128">
        <f>'Capacity (national prices) 2nd'!H34*'Capacity (local prices) 2nd'!$C36/60</f>
        <v>178.14129427743154</v>
      </c>
      <c r="I36" s="128">
        <f>'Capacity (national prices) 2nd'!I34*'Capacity (local prices) 2nd'!$C36/60</f>
        <v>179.85889833822964</v>
      </c>
      <c r="J36" s="742"/>
      <c r="K36" s="747">
        <f>'Inputs and eligible population'!$Q$99</f>
        <v>103.07</v>
      </c>
      <c r="L36" s="299">
        <f>D36*$K36/1000</f>
        <v>0</v>
      </c>
      <c r="M36" s="299">
        <f t="shared" ref="M36:Q40" si="29">E36*$K36/1000</f>
        <v>4.0932457219515532</v>
      </c>
      <c r="N36" s="299">
        <f t="shared" si="29"/>
        <v>9.0060060102419648</v>
      </c>
      <c r="O36" s="299">
        <f t="shared" si="29"/>
        <v>13.639260279317559</v>
      </c>
      <c r="P36" s="299">
        <f t="shared" si="29"/>
        <v>18.361023201174866</v>
      </c>
      <c r="Q36" s="299">
        <f t="shared" si="29"/>
        <v>18.538056651721327</v>
      </c>
      <c r="R36" s="133"/>
      <c r="S36" s="133"/>
      <c r="T36" s="133"/>
      <c r="U36" s="133"/>
      <c r="V36" s="133"/>
      <c r="W36" s="133"/>
      <c r="X36" s="133"/>
      <c r="Y36" s="133"/>
      <c r="Z36" s="133"/>
      <c r="AJ36" s="292"/>
      <c r="AK36" s="292"/>
      <c r="AL36" s="292"/>
      <c r="AM36" s="292"/>
      <c r="AN36" s="292"/>
    </row>
    <row r="37" spans="1:40" x14ac:dyDescent="0.25">
      <c r="A37" s="737"/>
      <c r="B37" s="703" t="s">
        <v>1249</v>
      </c>
      <c r="C37" s="704">
        <f>'Inputs and eligible population'!G99</f>
        <v>20</v>
      </c>
      <c r="D37" s="128">
        <f>'Capacity (national prices) 2nd'!D35*'Capacity (local prices) 2nd'!$C37/60</f>
        <v>28.572224275634106</v>
      </c>
      <c r="E37" s="128">
        <f>'Capacity (national prices) 2nd'!E35*'Capacity (local prices) 2nd'!$C37/60</f>
        <v>39.713260133419553</v>
      </c>
      <c r="F37" s="128">
        <f>'Capacity (national prices) 2nd'!F35*'Capacity (local prices) 2nd'!$C37/60</f>
        <v>87.37756874203906</v>
      </c>
      <c r="G37" s="128">
        <f>'Capacity (national prices) 2nd'!G35*'Capacity (local prices) 2nd'!$C37/60</f>
        <v>132.33006965477404</v>
      </c>
      <c r="H37" s="128">
        <f>'Capacity (national prices) 2nd'!H35*'Capacity (local prices) 2nd'!$C37/60</f>
        <v>178.14129427743154</v>
      </c>
      <c r="I37" s="128">
        <f>'Capacity (national prices) 2nd'!I35*'Capacity (local prices) 2nd'!$C37/60</f>
        <v>179.85889833822964</v>
      </c>
      <c r="J37" s="742"/>
      <c r="K37" s="747">
        <f>'Inputs and eligible population'!$Q$99</f>
        <v>103.07</v>
      </c>
      <c r="L37" s="299">
        <f>D37*$K37/1000</f>
        <v>2.9449391560896068</v>
      </c>
      <c r="M37" s="299">
        <f t="shared" si="29"/>
        <v>4.0932457219515532</v>
      </c>
      <c r="N37" s="299">
        <f t="shared" si="29"/>
        <v>9.0060060102419648</v>
      </c>
      <c r="O37" s="299">
        <f t="shared" si="29"/>
        <v>13.639260279317559</v>
      </c>
      <c r="P37" s="299">
        <f t="shared" si="29"/>
        <v>18.361023201174866</v>
      </c>
      <c r="Q37" s="299">
        <f t="shared" si="29"/>
        <v>18.538056651721327</v>
      </c>
      <c r="R37" s="133"/>
      <c r="S37" s="133"/>
      <c r="T37" s="133"/>
      <c r="U37" s="133"/>
      <c r="V37" s="133"/>
      <c r="W37" s="133"/>
      <c r="X37" s="133"/>
      <c r="Y37" s="133"/>
      <c r="Z37" s="133"/>
      <c r="AJ37" s="292"/>
      <c r="AK37" s="292"/>
      <c r="AL37" s="292"/>
      <c r="AM37" s="292"/>
      <c r="AN37" s="292"/>
    </row>
    <row r="38" spans="1:40" x14ac:dyDescent="0.25">
      <c r="A38" s="737"/>
      <c r="B38" s="358" t="s">
        <v>1248</v>
      </c>
      <c r="C38" s="704">
        <f>'Inputs and eligible population'!H99</f>
        <v>20</v>
      </c>
      <c r="D38" s="128">
        <f>'Capacity (national prices) 2nd'!D36*'Capacity (local prices) 2nd'!$C38/60</f>
        <v>139.28959334371629</v>
      </c>
      <c r="E38" s="128">
        <f>'Capacity (national prices) 2nd'!E36*'Capacity (local prices) 2nd'!$C38/60</f>
        <v>129.81470472412187</v>
      </c>
      <c r="F38" s="128">
        <f>'Capacity (national prices) 2nd'!F36*'Capacity (local prices) 2nd'!$C38/60</f>
        <v>116.50342498938544</v>
      </c>
      <c r="G38" s="128">
        <f>'Capacity (national prices) 2nd'!G36*'Capacity (local prices) 2nd'!$C38/60</f>
        <v>102.92338750926871</v>
      </c>
      <c r="H38" s="128">
        <f>'Capacity (national prices) 2nd'!H36*'Capacity (local prices) 2nd'!$C38/60</f>
        <v>89.070647138715771</v>
      </c>
      <c r="I38" s="128">
        <f>'Capacity (national prices) 2nd'!I36*'Capacity (local prices) 2nd'!$C38/60</f>
        <v>89.929449169114818</v>
      </c>
      <c r="J38" s="742"/>
      <c r="K38" s="747">
        <f>'Inputs and eligible population'!$Q$99</f>
        <v>103.07</v>
      </c>
      <c r="L38" s="299">
        <f t="shared" ref="L38:L40" si="30">D38*$K38/1000</f>
        <v>14.356578385936837</v>
      </c>
      <c r="M38" s="299">
        <f t="shared" si="29"/>
        <v>13.380001615915241</v>
      </c>
      <c r="N38" s="299">
        <f t="shared" si="29"/>
        <v>12.008008013655955</v>
      </c>
      <c r="O38" s="299">
        <f t="shared" si="29"/>
        <v>10.608313550580325</v>
      </c>
      <c r="P38" s="299">
        <f t="shared" si="29"/>
        <v>9.1805116005874332</v>
      </c>
      <c r="Q38" s="299">
        <f t="shared" si="29"/>
        <v>9.2690283258606634</v>
      </c>
      <c r="R38" s="133"/>
      <c r="S38" s="133"/>
      <c r="T38" s="133"/>
      <c r="U38" s="133"/>
      <c r="V38" s="133"/>
      <c r="W38" s="133"/>
      <c r="X38" s="133"/>
      <c r="Y38" s="133"/>
      <c r="Z38" s="133"/>
      <c r="AJ38" s="292"/>
      <c r="AK38" s="292"/>
      <c r="AL38" s="292"/>
      <c r="AM38" s="292"/>
      <c r="AN38" s="292"/>
    </row>
    <row r="39" spans="1:40" x14ac:dyDescent="0.25">
      <c r="A39" s="737"/>
      <c r="B39" s="703" t="s">
        <v>1259</v>
      </c>
      <c r="C39" s="704">
        <f>'Inputs and eligible population'!I99</f>
        <v>20</v>
      </c>
      <c r="D39" s="128">
        <f>'Capacity (national prices) 2nd'!D37*'Capacity (local prices) 2nd'!$C39/60</f>
        <v>135.71806530926202</v>
      </c>
      <c r="E39" s="128">
        <f>'Capacity (national prices) 2nd'!E37*'Capacity (local prices) 2nd'!$C39/60</f>
        <v>129.81470472412187</v>
      </c>
      <c r="F39" s="128">
        <f>'Capacity (national prices) 2nd'!F37*'Capacity (local prices) 2nd'!$C39/60</f>
        <v>116.50342498938544</v>
      </c>
      <c r="G39" s="128">
        <f>'Capacity (national prices) 2nd'!G37*'Capacity (local prices) 2nd'!$C39/60</f>
        <v>102.92338750926871</v>
      </c>
      <c r="H39" s="128">
        <f>'Capacity (national prices) 2nd'!H37*'Capacity (local prices) 2nd'!$C39/60</f>
        <v>89.070647138715771</v>
      </c>
      <c r="I39" s="128">
        <f>'Capacity (national prices) 2nd'!I37*'Capacity (local prices) 2nd'!$C39/60</f>
        <v>89.929449169114818</v>
      </c>
      <c r="J39" s="742"/>
      <c r="K39" s="747">
        <f>'Inputs and eligible population'!$Q$99</f>
        <v>103.07</v>
      </c>
      <c r="L39" s="299">
        <f t="shared" si="30"/>
        <v>13.988460991425635</v>
      </c>
      <c r="M39" s="299">
        <f t="shared" si="29"/>
        <v>13.380001615915241</v>
      </c>
      <c r="N39" s="299">
        <f t="shared" si="29"/>
        <v>12.008008013655955</v>
      </c>
      <c r="O39" s="299">
        <f t="shared" si="29"/>
        <v>10.608313550580325</v>
      </c>
      <c r="P39" s="299">
        <f t="shared" si="29"/>
        <v>9.1805116005874332</v>
      </c>
      <c r="Q39" s="299">
        <f t="shared" si="29"/>
        <v>9.2690283258606634</v>
      </c>
      <c r="R39" s="133"/>
      <c r="S39" s="133"/>
      <c r="T39" s="133"/>
      <c r="U39" s="133"/>
      <c r="V39" s="133"/>
      <c r="W39" s="133"/>
      <c r="X39" s="133"/>
      <c r="Y39" s="133"/>
      <c r="Z39" s="133"/>
      <c r="AJ39" s="292"/>
      <c r="AK39" s="292"/>
      <c r="AL39" s="292"/>
      <c r="AM39" s="292"/>
      <c r="AN39" s="292"/>
    </row>
    <row r="40" spans="1:40" x14ac:dyDescent="0.25">
      <c r="A40" s="737"/>
      <c r="B40" s="703" t="s">
        <v>1250</v>
      </c>
      <c r="C40" s="704">
        <f>'Inputs and eligible population'!J99</f>
        <v>20</v>
      </c>
      <c r="D40" s="128">
        <f>'Capacity (national prices) 2nd'!D38*'Capacity (local prices) 2nd'!$C40/60</f>
        <v>410.72572396224024</v>
      </c>
      <c r="E40" s="128">
        <f>'Capacity (national prices) 2nd'!E38*'Capacity (local prices) 2nd'!$C40/60</f>
        <v>382.23218613213663</v>
      </c>
      <c r="F40" s="128">
        <f>'Capacity (national prices) 2nd'!F38*'Capacity (local prices) 2nd'!$C40/60</f>
        <v>320.38441872080989</v>
      </c>
      <c r="G40" s="128">
        <f>'Capacity (national prices) 2nd'!G38*'Capacity (local prices) 2nd'!$C40/60</f>
        <v>264.66013930954807</v>
      </c>
      <c r="H40" s="128">
        <f>'Capacity (national prices) 2nd'!H38*'Capacity (local prices) 2nd'!$C40/60</f>
        <v>207.83150999033685</v>
      </c>
      <c r="I40" s="128">
        <f>'Capacity (national prices) 2nd'!I38*'Capacity (local prices) 2nd'!$C40/60</f>
        <v>209.83538139460126</v>
      </c>
      <c r="J40" s="742"/>
      <c r="K40" s="747">
        <f>'Inputs and eligible population'!$Q$99</f>
        <v>103.07</v>
      </c>
      <c r="L40" s="299">
        <f t="shared" si="30"/>
        <v>42.333500368788094</v>
      </c>
      <c r="M40" s="299">
        <f t="shared" si="29"/>
        <v>39.396671424639315</v>
      </c>
      <c r="N40" s="299">
        <f t="shared" si="29"/>
        <v>33.022022037553867</v>
      </c>
      <c r="O40" s="299">
        <f t="shared" si="29"/>
        <v>27.278520558635119</v>
      </c>
      <c r="P40" s="299">
        <f t="shared" si="29"/>
        <v>21.421193734704019</v>
      </c>
      <c r="Q40" s="299">
        <f>I40*$K40/1000</f>
        <v>21.627732760341551</v>
      </c>
      <c r="R40" s="133"/>
      <c r="S40" s="133"/>
      <c r="T40" s="133"/>
      <c r="U40" s="133"/>
      <c r="V40" s="133"/>
      <c r="W40" s="133"/>
      <c r="X40" s="133"/>
      <c r="Y40" s="133"/>
      <c r="Z40" s="133"/>
      <c r="AJ40" s="292"/>
      <c r="AK40" s="292"/>
      <c r="AL40" s="292"/>
      <c r="AM40" s="292"/>
      <c r="AN40" s="292"/>
    </row>
    <row r="41" spans="1:40" x14ac:dyDescent="0.25">
      <c r="A41" s="737"/>
      <c r="B41" s="574"/>
      <c r="C41" s="289"/>
      <c r="D41" s="187">
        <f t="shared" ref="D41:H41" si="31">SUM(D36:D40)</f>
        <v>714.30560689085269</v>
      </c>
      <c r="E41" s="187">
        <f t="shared" si="31"/>
        <v>721.28811584721939</v>
      </c>
      <c r="F41" s="187">
        <f t="shared" si="31"/>
        <v>728.14640618365888</v>
      </c>
      <c r="G41" s="187">
        <f t="shared" si="31"/>
        <v>735.16705363763356</v>
      </c>
      <c r="H41" s="187">
        <f t="shared" si="31"/>
        <v>742.25539282263151</v>
      </c>
      <c r="I41" s="187">
        <f>SUM(I36:I40)</f>
        <v>749.41207640929019</v>
      </c>
      <c r="J41" s="742"/>
      <c r="K41" s="221"/>
      <c r="L41" s="300">
        <f t="shared" ref="L41:P41" si="32">SUM(L36:L40)</f>
        <v>73.62347890224018</v>
      </c>
      <c r="M41" s="300">
        <f t="shared" si="32"/>
        <v>74.343166100372912</v>
      </c>
      <c r="N41" s="300">
        <f t="shared" si="32"/>
        <v>75.05005008534971</v>
      </c>
      <c r="O41" s="300">
        <f t="shared" si="32"/>
        <v>75.773668218430885</v>
      </c>
      <c r="P41" s="300">
        <f t="shared" si="32"/>
        <v>76.504263338228625</v>
      </c>
      <c r="Q41" s="300">
        <f>SUM(Q36:Q40)</f>
        <v>77.241902715505518</v>
      </c>
      <c r="R41" s="133"/>
      <c r="S41" s="133"/>
      <c r="T41" s="133"/>
      <c r="U41" s="133"/>
      <c r="V41" s="133"/>
      <c r="W41" s="133"/>
      <c r="X41" s="133"/>
      <c r="Y41" s="133"/>
      <c r="Z41" s="133"/>
      <c r="AJ41" s="292"/>
      <c r="AK41" s="292"/>
      <c r="AL41" s="292"/>
      <c r="AM41" s="292"/>
      <c r="AN41" s="292"/>
    </row>
    <row r="42" spans="1:40" x14ac:dyDescent="0.25">
      <c r="A42" s="737"/>
      <c r="B42" s="262"/>
      <c r="C42" s="262"/>
      <c r="D42" s="291" t="s">
        <v>1193</v>
      </c>
      <c r="E42" s="187">
        <f>E41-$D$41</f>
        <v>6.9825089563667007</v>
      </c>
      <c r="F42" s="187">
        <f>F41-$D$41</f>
        <v>13.840799292806196</v>
      </c>
      <c r="G42" s="187">
        <f>G41-$D$41</f>
        <v>20.861446746780871</v>
      </c>
      <c r="H42" s="187">
        <f>H41-$D$41</f>
        <v>27.94978593177882</v>
      </c>
      <c r="I42" s="187">
        <f>I41-$D$41</f>
        <v>35.106469518437507</v>
      </c>
      <c r="J42" s="742"/>
      <c r="K42" s="221"/>
      <c r="L42" s="221"/>
      <c r="M42" s="300">
        <f>M41-$L$41</f>
        <v>0.71968719813273196</v>
      </c>
      <c r="N42" s="300">
        <f t="shared" ref="N42:P42" si="33">N41-$L$41</f>
        <v>1.4265711831095302</v>
      </c>
      <c r="O42" s="300">
        <f t="shared" si="33"/>
        <v>2.1501893161907049</v>
      </c>
      <c r="P42" s="300">
        <f t="shared" si="33"/>
        <v>2.8807844359884456</v>
      </c>
      <c r="Q42" s="300">
        <f>Q41-$L$41</f>
        <v>3.6184238132653377</v>
      </c>
      <c r="R42" s="133"/>
      <c r="S42" s="133"/>
      <c r="T42" s="133"/>
      <c r="U42" s="133"/>
      <c r="V42" s="133"/>
      <c r="W42" s="133"/>
      <c r="X42" s="133"/>
      <c r="Y42" s="133"/>
      <c r="Z42" s="133"/>
      <c r="AJ42" s="292"/>
      <c r="AK42" s="292"/>
      <c r="AL42" s="292"/>
      <c r="AM42" s="292"/>
      <c r="AN42" s="292"/>
    </row>
    <row r="43" spans="1:40" x14ac:dyDescent="0.25">
      <c r="A43" s="294"/>
      <c r="B43" s="739"/>
      <c r="C43" s="734"/>
      <c r="D43" s="735"/>
      <c r="E43" s="736"/>
      <c r="F43" s="294"/>
      <c r="G43" s="294"/>
      <c r="H43" s="294"/>
      <c r="I43" s="313"/>
      <c r="J43" s="221"/>
      <c r="K43" s="221"/>
      <c r="L43" s="221"/>
      <c r="M43" s="221"/>
      <c r="N43" s="221"/>
      <c r="O43" s="221"/>
      <c r="P43" s="221"/>
      <c r="Q43" s="221"/>
      <c r="R43" s="133"/>
      <c r="S43" s="133"/>
      <c r="T43" s="133"/>
      <c r="U43" s="133"/>
      <c r="V43" s="133"/>
      <c r="W43" s="133"/>
      <c r="X43" s="133"/>
      <c r="Y43" s="133"/>
      <c r="Z43" s="133"/>
      <c r="AJ43" s="292"/>
      <c r="AK43" s="292"/>
      <c r="AL43" s="292"/>
      <c r="AM43" s="292"/>
      <c r="AN43" s="292"/>
    </row>
    <row r="44" spans="1:40" x14ac:dyDescent="0.25">
      <c r="A44" s="294"/>
      <c r="B44" s="405" t="s">
        <v>1312</v>
      </c>
      <c r="C44" s="406"/>
      <c r="D44" s="406"/>
      <c r="E44" s="406"/>
      <c r="F44" s="406"/>
      <c r="G44" s="406"/>
      <c r="H44" s="406"/>
      <c r="I44" s="220"/>
      <c r="J44" s="221"/>
      <c r="K44" s="221"/>
      <c r="L44" s="221"/>
      <c r="M44" s="221"/>
      <c r="N44" s="221"/>
      <c r="O44" s="221"/>
      <c r="P44" s="221"/>
      <c r="Q44" s="221"/>
      <c r="R44" s="133"/>
      <c r="S44" s="133"/>
      <c r="T44" s="133"/>
      <c r="U44" s="133"/>
      <c r="V44" s="133"/>
      <c r="W44" s="133"/>
      <c r="X44" s="133"/>
      <c r="Y44" s="133"/>
      <c r="Z44" s="133"/>
      <c r="AJ44" s="292"/>
      <c r="AK44" s="292"/>
      <c r="AL44" s="292"/>
      <c r="AM44" s="292"/>
      <c r="AN44" s="292"/>
    </row>
    <row r="45" spans="1:40" ht="45" x14ac:dyDescent="0.25">
      <c r="A45" s="294"/>
      <c r="B45" s="285" t="s">
        <v>131</v>
      </c>
      <c r="C45" s="166" t="s">
        <v>752</v>
      </c>
      <c r="D45" s="434" t="s">
        <v>743</v>
      </c>
      <c r="E45" s="261" t="s">
        <v>51</v>
      </c>
      <c r="F45" s="261" t="s">
        <v>52</v>
      </c>
      <c r="G45" s="165" t="s">
        <v>744</v>
      </c>
      <c r="H45" s="165" t="s">
        <v>745</v>
      </c>
      <c r="I45" s="261" t="s">
        <v>746</v>
      </c>
      <c r="J45" s="221"/>
      <c r="K45" s="746" t="s">
        <v>1252</v>
      </c>
      <c r="L45" s="434" t="s">
        <v>743</v>
      </c>
      <c r="M45" s="261" t="s">
        <v>51</v>
      </c>
      <c r="N45" s="261" t="s">
        <v>52</v>
      </c>
      <c r="O45" s="165" t="s">
        <v>744</v>
      </c>
      <c r="P45" s="165" t="s">
        <v>745</v>
      </c>
      <c r="Q45" s="261" t="s">
        <v>746</v>
      </c>
      <c r="R45" s="133"/>
      <c r="S45" s="133"/>
      <c r="T45" s="133"/>
      <c r="U45" s="133"/>
      <c r="V45" s="133"/>
      <c r="W45" s="133"/>
      <c r="X45" s="133"/>
      <c r="Y45" s="133"/>
      <c r="Z45" s="133"/>
      <c r="AJ45" s="292"/>
      <c r="AK45" s="292"/>
      <c r="AL45" s="292"/>
      <c r="AM45" s="292"/>
      <c r="AN45" s="292"/>
    </row>
    <row r="46" spans="1:40" x14ac:dyDescent="0.25">
      <c r="A46" s="294"/>
      <c r="B46" s="358" t="s">
        <v>1247</v>
      </c>
      <c r="C46" s="704">
        <f>'Inputs and eligible population'!F101</f>
        <v>10</v>
      </c>
      <c r="D46" s="128">
        <f>'Capacity (national prices) 2nd'!D44*'Capacity (local prices) 2nd'!$C46/60</f>
        <v>0</v>
      </c>
      <c r="E46" s="128">
        <f>'Capacity (national prices) 2nd'!E44*'Capacity (local prices) 2nd'!$C46/60</f>
        <v>217.62866553113918</v>
      </c>
      <c r="F46" s="128">
        <f>'Capacity (national prices) 2nd'!F44*'Capacity (local prices) 2nd'!$C46/60</f>
        <v>510.84732147081849</v>
      </c>
      <c r="G46" s="128">
        <f>'Capacity (national prices) 2nd'!G44*'Capacity (local prices) 2nd'!$C46/60</f>
        <v>795.61568970578446</v>
      </c>
      <c r="H46" s="128">
        <f>'Capacity (national prices) 2nd'!H44*'Capacity (local prices) 2nd'!$C46/60</f>
        <v>1082.9035079217722</v>
      </c>
      <c r="I46" s="128">
        <f>'Capacity (national prices) 2nd'!I44*'Capacity (local prices) 2nd'!$C46/60</f>
        <v>1129.25061909839</v>
      </c>
      <c r="J46" s="221"/>
      <c r="K46" s="747">
        <f>'Inputs and eligible population'!$Q$101</f>
        <v>103.07</v>
      </c>
      <c r="L46" s="299">
        <f>(D46*'Inputs and eligible population'!$F101/60*'Inputs and eligible population'!$Q$101)/1000</f>
        <v>0</v>
      </c>
      <c r="M46" s="299">
        <f>(E46*'Inputs and eligible population'!$F101/60*'Inputs and eligible population'!$Q$101)/1000</f>
        <v>3.7384977593824189</v>
      </c>
      <c r="N46" s="299">
        <f>(F46*'Inputs and eligible population'!$F101/60*'Inputs and eligible population'!$Q$101)/1000</f>
        <v>8.7755055706662102</v>
      </c>
      <c r="O46" s="299">
        <f>(G46*'Inputs and eligible population'!$F101/60*'Inputs and eligible population'!$Q$101)/1000</f>
        <v>13.667351522995865</v>
      </c>
      <c r="P46" s="299">
        <f>(H46*'Inputs and eligible population'!$F101/60*'Inputs and eligible population'!$Q$101)/1000</f>
        <v>18.60247742691617</v>
      </c>
      <c r="Q46" s="299">
        <f>(I46*'Inputs and eligible population'!$F101/60*'Inputs and eligible population'!$Q$101)/1000</f>
        <v>19.39864355174517</v>
      </c>
      <c r="R46" s="133"/>
      <c r="S46" s="133"/>
      <c r="T46" s="133"/>
      <c r="U46" s="133"/>
      <c r="V46" s="133"/>
      <c r="W46" s="133"/>
      <c r="X46" s="133"/>
      <c r="Y46" s="133"/>
      <c r="Z46" s="133"/>
      <c r="AJ46" s="292"/>
      <c r="AK46" s="292"/>
      <c r="AL46" s="292"/>
      <c r="AM46" s="292"/>
      <c r="AN46" s="292"/>
    </row>
    <row r="47" spans="1:40" x14ac:dyDescent="0.25">
      <c r="A47" s="294"/>
      <c r="B47" s="358" t="s">
        <v>1249</v>
      </c>
      <c r="C47" s="704">
        <f>'Inputs and eligible population'!G101</f>
        <v>10</v>
      </c>
      <c r="D47" s="128">
        <f>'Capacity (national prices) 2nd'!D45*'Capacity (local prices) 2nd'!$C47/60</f>
        <v>242.00422777072856</v>
      </c>
      <c r="E47" s="128">
        <f>'Capacity (national prices) 2nd'!E45*'Capacity (local prices) 2nd'!$C47/60</f>
        <v>303.0571042713928</v>
      </c>
      <c r="F47" s="128">
        <f>'Capacity (national prices) 2nd'!F45*'Capacity (local prices) 2nd'!$C47/60</f>
        <v>597.56823322968239</v>
      </c>
      <c r="G47" s="128">
        <f>'Capacity (national prices) 2nd'!G45*'Capacity (local prices) 2nd'!$C47/60</f>
        <v>986.42003070235398</v>
      </c>
      <c r="H47" s="128">
        <f>'Capacity (national prices) 2nd'!H45*'Capacity (local prices) 2nd'!$C47/60</f>
        <v>1371.8695674953824</v>
      </c>
      <c r="I47" s="128">
        <f>'Capacity (national prices) 2nd'!I45*'Capacity (local prices) 2nd'!$C47/60</f>
        <v>1518.2535720098956</v>
      </c>
      <c r="J47" s="221"/>
      <c r="K47" s="747">
        <f>'Inputs and eligible population'!$Q$101</f>
        <v>103.07</v>
      </c>
      <c r="L47" s="299">
        <f>(D47*'Inputs and eligible population'!$G$101/60*'Inputs and eligible population'!$Q$101)/1000</f>
        <v>4.1572292927214987</v>
      </c>
      <c r="M47" s="299">
        <f>(E47*'Inputs and eligible population'!$G$101/60*'Inputs and eligible population'!$Q$101)/1000</f>
        <v>5.2060159562087422</v>
      </c>
      <c r="N47" s="299">
        <f>(F47*'Inputs and eligible population'!$G$101/60*'Inputs and eligible population'!$Q$101)/1000</f>
        <v>10.265226299830559</v>
      </c>
      <c r="O47" s="299">
        <f>(G47*'Inputs and eligible population'!$G$101/60*'Inputs and eligible population'!$Q$101)/1000</f>
        <v>16.945052094081937</v>
      </c>
      <c r="P47" s="299">
        <f>(H47*'Inputs and eligible population'!$G$101/60*'Inputs and eligible population'!$Q$101)/1000</f>
        <v>23.566432720291509</v>
      </c>
      <c r="Q47" s="299">
        <f>(I47*'Inputs and eligible population'!$G$101/60*'Inputs and eligible population'!$Q$101)/1000</f>
        <v>26.081065944509987</v>
      </c>
      <c r="R47" s="133"/>
      <c r="S47" s="133"/>
      <c r="T47" s="133"/>
      <c r="U47" s="133"/>
      <c r="V47" s="133"/>
      <c r="W47" s="133"/>
      <c r="X47" s="133"/>
      <c r="Y47" s="133"/>
      <c r="Z47" s="133"/>
      <c r="AJ47" s="292"/>
      <c r="AK47" s="292"/>
      <c r="AL47" s="292"/>
      <c r="AM47" s="292"/>
      <c r="AN47" s="292"/>
    </row>
    <row r="48" spans="1:40" x14ac:dyDescent="0.25">
      <c r="A48" s="294"/>
      <c r="B48" s="358" t="s">
        <v>1248</v>
      </c>
      <c r="C48" s="704">
        <f>'Inputs and eligible population'!H101</f>
        <v>10</v>
      </c>
      <c r="D48" s="128">
        <f>'Capacity (national prices) 2nd'!D46*'Capacity (local prices) 2nd'!$C48/60</f>
        <v>763.30697152356527</v>
      </c>
      <c r="E48" s="128">
        <f>'Capacity (national prices) 2nd'!E46*'Capacity (local prices) 2nd'!$C48/60</f>
        <v>711.38458188818777</v>
      </c>
      <c r="F48" s="128">
        <f>'Capacity (national prices) 2nd'!F46*'Capacity (local prices) 2nd'!$C48/60</f>
        <v>638.43876894183222</v>
      </c>
      <c r="G48" s="128">
        <f>'Capacity (national prices) 2nd'!G46*'Capacity (local prices) 2nd'!$C48/60</f>
        <v>564.02016355079252</v>
      </c>
      <c r="H48" s="128">
        <f>'Capacity (national prices) 2nd'!H46*'Capacity (local prices) 2nd'!$C48/60</f>
        <v>488.10714632016249</v>
      </c>
      <c r="I48" s="128">
        <f>'Capacity (national prices) 2nd'!I46*'Capacity (local prices) 2nd'!$C48/60</f>
        <v>492.81338144674919</v>
      </c>
      <c r="J48" s="221"/>
      <c r="K48" s="747">
        <f>'Inputs and eligible population'!$Q$101</f>
        <v>103.07</v>
      </c>
      <c r="L48" s="299">
        <f>(D48*'Inputs and eligible population'!$H$101/60*'Inputs and eligible population'!$Q$101)/1000</f>
        <v>13.112341592488976</v>
      </c>
      <c r="M48" s="299">
        <f>(E48*'Inputs and eligible population'!$H$101/60*'Inputs and eligible population'!$Q$101)/1000</f>
        <v>12.220401475869252</v>
      </c>
      <c r="N48" s="299">
        <f>(F48*'Inputs and eligible population'!$H$101/60*'Inputs and eligible population'!$Q$101)/1000</f>
        <v>10.967313985805776</v>
      </c>
      <c r="O48" s="299">
        <f>(G48*'Inputs and eligible population'!$H$101/60*'Inputs and eligible population'!$Q$101)/1000</f>
        <v>9.6889263761966973</v>
      </c>
      <c r="P48" s="299">
        <f>(H48*'Inputs and eligible population'!$H$101/60*'Inputs and eligible population'!$Q$101)/1000</f>
        <v>8.384867261869859</v>
      </c>
      <c r="Q48" s="299">
        <f>(I48*'Inputs and eligible population'!$H$101/60*'Inputs and eligible population'!$Q$101)/1000</f>
        <v>8.4657125376194067</v>
      </c>
      <c r="R48" s="133"/>
      <c r="S48" s="133"/>
      <c r="T48" s="133"/>
      <c r="U48" s="133"/>
      <c r="V48" s="133"/>
      <c r="W48" s="133"/>
      <c r="X48" s="133"/>
      <c r="Y48" s="133"/>
      <c r="Z48" s="133"/>
      <c r="AJ48" s="292"/>
      <c r="AK48" s="292"/>
      <c r="AL48" s="292"/>
      <c r="AM48" s="292"/>
      <c r="AN48" s="292"/>
    </row>
    <row r="49" spans="1:40" x14ac:dyDescent="0.25">
      <c r="A49" s="294"/>
      <c r="B49" s="358" t="s">
        <v>1259</v>
      </c>
      <c r="C49" s="704">
        <f>'Inputs and eligible population'!I101</f>
        <v>10</v>
      </c>
      <c r="D49" s="128">
        <f>'Capacity (national prices) 2nd'!D47*'Capacity (local prices) 2nd'!$C49/60</f>
        <v>1257.2177909618201</v>
      </c>
      <c r="E49" s="128">
        <f>'Capacity (national prices) 2nd'!E47*'Capacity (local prices) 2nd'!$C49/60</f>
        <v>1224.867374955252</v>
      </c>
      <c r="F49" s="128">
        <f>'Capacity (national prices) 2nd'!F47*'Capacity (local prices) 2nd'!$C49/60</f>
        <v>1129.5864802728549</v>
      </c>
      <c r="G49" s="128">
        <f>'Capacity (national prices) 2nd'!G47*'Capacity (local prices) 2nd'!$C49/60</f>
        <v>1004.8052862174821</v>
      </c>
      <c r="H49" s="128">
        <f>'Capacity (national prices) 2nd'!H47*'Capacity (local prices) 2nd'!$C49/60</f>
        <v>877.51284827851794</v>
      </c>
      <c r="I49" s="128">
        <f>'Capacity (national prices) 2nd'!I47*'Capacity (local prices) 2nd'!$C49/60</f>
        <v>829.8079043856012</v>
      </c>
      <c r="J49" s="221"/>
      <c r="K49" s="747">
        <f>'Inputs and eligible population'!$Q$101</f>
        <v>103.07</v>
      </c>
      <c r="L49" s="299">
        <f>(D49*'Inputs and eligible population'!$I$101/60*'Inputs and eligible population'!$Q$101)/1000</f>
        <v>21.596906285739134</v>
      </c>
      <c r="M49" s="299">
        <f>(E49*'Inputs and eligible population'!$I$101/60*'Inputs and eligible population'!$Q$101)/1000</f>
        <v>21.041180056106299</v>
      </c>
      <c r="N49" s="299">
        <f>(F49*'Inputs and eligible population'!$I$101/60*'Inputs and eligible population'!$Q$101)/1000</f>
        <v>19.404413086953856</v>
      </c>
      <c r="O49" s="299">
        <f>(G49*'Inputs and eligible population'!$I$101/60*'Inputs and eligible population'!$Q$101)/1000</f>
        <v>17.26088014173931</v>
      </c>
      <c r="P49" s="299">
        <f>(H49*'Inputs and eligible population'!$I$101/60*'Inputs and eligible population'!$Q$101)/1000</f>
        <v>15.074208212011142</v>
      </c>
      <c r="Q49" s="299">
        <f>(I49*'Inputs and eligible population'!$I$101/60*'Inputs and eligible population'!$Q$101)/1000</f>
        <v>14.254716784170652</v>
      </c>
      <c r="R49" s="133"/>
      <c r="S49" s="133"/>
      <c r="T49" s="133"/>
      <c r="U49" s="133"/>
      <c r="V49" s="133"/>
      <c r="W49" s="133"/>
      <c r="X49" s="133"/>
      <c r="Y49" s="133"/>
      <c r="Z49" s="133"/>
      <c r="AJ49" s="292"/>
      <c r="AK49" s="292"/>
      <c r="AL49" s="292"/>
      <c r="AM49" s="292"/>
      <c r="AN49" s="292"/>
    </row>
    <row r="50" spans="1:40" x14ac:dyDescent="0.25">
      <c r="A50" s="294"/>
      <c r="B50" s="358" t="s">
        <v>1250</v>
      </c>
      <c r="C50" s="704">
        <f>'Inputs and eligible population'!J101</f>
        <v>10</v>
      </c>
      <c r="D50" s="128">
        <f>'Capacity (national prices) 2nd'!D48*'Capacity (local prices) 2nd'!$C50/60</f>
        <v>4501.553934626153</v>
      </c>
      <c r="E50" s="128">
        <f>'Capacity (national prices) 2nd'!E48*'Capacity (local prices) 2nd'!$C50/60</f>
        <v>4189.2647600082173</v>
      </c>
      <c r="F50" s="128">
        <f>'Capacity (national prices) 2nd'!F48*'Capacity (local prices) 2nd'!$C50/60</f>
        <v>3511.4132291800775</v>
      </c>
      <c r="G50" s="128">
        <f>'Capacity (national prices) 2nd'!G48*'Capacity (local prices) 2nd'!$C50/60</f>
        <v>2900.6751268326475</v>
      </c>
      <c r="H50" s="128">
        <f>'Capacity (national prices) 2nd'!H48*'Capacity (local prices) 2nd'!$C50/60</f>
        <v>2277.8333494940916</v>
      </c>
      <c r="I50" s="128">
        <f>'Capacity (national prices) 2nd'!I48*'Capacity (local prices) 2nd'!$C50/60</f>
        <v>2299.7957800848299</v>
      </c>
      <c r="J50" s="221"/>
      <c r="K50" s="747">
        <f>'Inputs and eligible population'!$Q$101</f>
        <v>103.07</v>
      </c>
      <c r="L50" s="299">
        <f>(D50*'Inputs and eligible population'!$J$101/60*'Inputs and eligible population'!$Q$101)/1000</f>
        <v>77.329194006986256</v>
      </c>
      <c r="M50" s="299">
        <f>(E50*'Inputs and eligible population'!$J$101/60*'Inputs and eligible population'!$Q$101)/1000</f>
        <v>71.964586469007813</v>
      </c>
      <c r="N50" s="299">
        <f>(F50*'Inputs and eligible population'!$J$101/60*'Inputs and eligible population'!$Q$101)/1000</f>
        <v>60.320226921931756</v>
      </c>
      <c r="O50" s="299">
        <f>(G50*'Inputs and eligible population'!$J$101/60*'Inputs and eligible population'!$Q$101)/1000</f>
        <v>49.828764220440164</v>
      </c>
      <c r="P50" s="299">
        <f>(H50*'Inputs and eligible population'!$J$101/60*'Inputs and eligible population'!$Q$101)/1000</f>
        <v>39.129380555392672</v>
      </c>
      <c r="Q50" s="299">
        <f>(I50*'Inputs and eligible population'!$J$101/60*'Inputs and eligible population'!$Q$101)/1000</f>
        <v>39.506658508890567</v>
      </c>
      <c r="R50" s="133"/>
      <c r="S50" s="133"/>
      <c r="T50" s="133"/>
      <c r="U50" s="133"/>
      <c r="V50" s="133"/>
      <c r="W50" s="133"/>
      <c r="X50" s="133"/>
      <c r="Y50" s="133"/>
      <c r="Z50" s="133"/>
      <c r="AJ50" s="292"/>
      <c r="AK50" s="292"/>
      <c r="AL50" s="292"/>
      <c r="AM50" s="292"/>
      <c r="AN50" s="292"/>
    </row>
    <row r="51" spans="1:40" x14ac:dyDescent="0.25">
      <c r="A51" s="737"/>
      <c r="B51" s="286"/>
      <c r="C51" s="289"/>
      <c r="D51" s="187">
        <f t="shared" ref="D51:I51" si="34">SUM(D46:D50)</f>
        <v>6764.0829248822665</v>
      </c>
      <c r="E51" s="187">
        <f t="shared" si="34"/>
        <v>6646.2024866541888</v>
      </c>
      <c r="F51" s="187">
        <f t="shared" si="34"/>
        <v>6387.8540330952655</v>
      </c>
      <c r="G51" s="187">
        <f t="shared" si="34"/>
        <v>6251.5362970090609</v>
      </c>
      <c r="H51" s="187">
        <f t="shared" si="34"/>
        <v>6098.2264195099269</v>
      </c>
      <c r="I51" s="187">
        <f t="shared" si="34"/>
        <v>6269.9212570254658</v>
      </c>
      <c r="J51" s="742"/>
      <c r="K51" s="221"/>
      <c r="L51" s="300">
        <f t="shared" ref="L51:Q51" si="35">SUM(L46:L50)</f>
        <v>116.19567117793586</v>
      </c>
      <c r="M51" s="300">
        <f t="shared" si="35"/>
        <v>114.17068171657452</v>
      </c>
      <c r="N51" s="300">
        <f t="shared" si="35"/>
        <v>109.73268586518816</v>
      </c>
      <c r="O51" s="300">
        <f t="shared" si="35"/>
        <v>107.39097435545398</v>
      </c>
      <c r="P51" s="300">
        <f t="shared" si="35"/>
        <v>104.75736617648136</v>
      </c>
      <c r="Q51" s="300">
        <f t="shared" si="35"/>
        <v>107.70679732693579</v>
      </c>
      <c r="R51" s="133"/>
      <c r="S51" s="133"/>
      <c r="T51" s="133"/>
      <c r="U51" s="133"/>
      <c r="V51" s="133"/>
      <c r="W51" s="133"/>
      <c r="X51" s="133"/>
      <c r="Y51" s="133"/>
      <c r="Z51" s="133"/>
      <c r="AJ51" s="292"/>
      <c r="AK51" s="292"/>
      <c r="AL51" s="292"/>
      <c r="AM51" s="292"/>
      <c r="AN51" s="292"/>
    </row>
    <row r="52" spans="1:40" x14ac:dyDescent="0.25">
      <c r="A52" s="737"/>
      <c r="B52" s="312"/>
      <c r="C52" s="262"/>
      <c r="D52" s="291" t="s">
        <v>1193</v>
      </c>
      <c r="E52" s="187">
        <f>E51-$D$51</f>
        <v>-117.88043822807776</v>
      </c>
      <c r="F52" s="187">
        <f>F51-$D$51</f>
        <v>-376.22889178700098</v>
      </c>
      <c r="G52" s="187">
        <f>G51-$D$51</f>
        <v>-512.54662787320558</v>
      </c>
      <c r="H52" s="187">
        <f>H51-$D$51</f>
        <v>-665.8565053723396</v>
      </c>
      <c r="I52" s="187">
        <f>I51-$D$51</f>
        <v>-494.1616678568007</v>
      </c>
      <c r="J52" s="742"/>
      <c r="K52" s="221"/>
      <c r="L52" s="221"/>
      <c r="M52" s="300">
        <f>M51-$L$51</f>
        <v>-2.0249894613613435</v>
      </c>
      <c r="N52" s="300">
        <f t="shared" ref="N52:P52" si="36">N51-$L$51</f>
        <v>-6.4629853127477048</v>
      </c>
      <c r="O52" s="300">
        <f t="shared" si="36"/>
        <v>-8.8046968224818869</v>
      </c>
      <c r="P52" s="300">
        <f t="shared" si="36"/>
        <v>-11.438305001454509</v>
      </c>
      <c r="Q52" s="300">
        <f>Q51-$L$51</f>
        <v>-8.4888738510000792</v>
      </c>
      <c r="R52" s="133"/>
      <c r="S52" s="133"/>
      <c r="T52" s="133"/>
      <c r="U52" s="133"/>
      <c r="V52" s="133"/>
      <c r="W52" s="133"/>
      <c r="X52" s="133"/>
      <c r="Y52" s="133"/>
      <c r="Z52" s="133"/>
      <c r="AJ52" s="292"/>
      <c r="AK52" s="292"/>
      <c r="AL52" s="292"/>
      <c r="AM52" s="292"/>
      <c r="AN52" s="292"/>
    </row>
    <row r="53" spans="1:40" x14ac:dyDescent="0.25">
      <c r="A53" s="294"/>
      <c r="B53" s="294"/>
      <c r="C53" s="294"/>
      <c r="D53" s="740"/>
      <c r="E53" s="741"/>
      <c r="F53" s="741"/>
      <c r="G53" s="741"/>
      <c r="H53" s="741"/>
      <c r="I53" s="741"/>
      <c r="J53" s="221"/>
      <c r="K53" s="221"/>
      <c r="L53" s="221"/>
      <c r="M53" s="221"/>
      <c r="N53" s="221"/>
      <c r="O53" s="221"/>
      <c r="P53" s="221"/>
      <c r="Q53" s="221"/>
      <c r="R53" s="133"/>
      <c r="S53" s="133"/>
      <c r="T53" s="133"/>
      <c r="U53" s="133"/>
      <c r="V53" s="133"/>
      <c r="W53" s="133"/>
      <c r="X53" s="133"/>
      <c r="Y53" s="133"/>
      <c r="Z53" s="133"/>
      <c r="AJ53" s="292"/>
      <c r="AK53" s="292"/>
      <c r="AL53" s="292"/>
      <c r="AM53" s="292"/>
      <c r="AN53" s="292"/>
    </row>
    <row r="54" spans="1:40" x14ac:dyDescent="0.25">
      <c r="A54" s="307"/>
      <c r="B54" s="398" t="s">
        <v>130</v>
      </c>
      <c r="C54" s="399"/>
      <c r="D54" s="399"/>
      <c r="E54" s="399"/>
      <c r="F54" s="399"/>
      <c r="G54" s="399"/>
      <c r="H54" s="399"/>
      <c r="I54" s="399"/>
      <c r="J54" s="440"/>
      <c r="K54" s="217"/>
      <c r="L54" s="217"/>
      <c r="M54" s="217"/>
      <c r="N54" s="217"/>
      <c r="O54" s="217"/>
      <c r="P54" s="217"/>
      <c r="Q54" s="217"/>
      <c r="R54" s="133"/>
      <c r="S54" s="133"/>
      <c r="T54" s="133"/>
      <c r="U54" s="133"/>
      <c r="V54" s="133"/>
      <c r="W54" s="133"/>
      <c r="X54" s="133"/>
      <c r="Y54" s="133"/>
      <c r="Z54" s="133"/>
      <c r="AJ54" s="292"/>
      <c r="AK54" s="292"/>
      <c r="AL54" s="292"/>
      <c r="AM54" s="292"/>
      <c r="AN54" s="292"/>
    </row>
    <row r="55" spans="1:40" ht="45" x14ac:dyDescent="0.25">
      <c r="A55" s="307"/>
      <c r="B55" s="326" t="s">
        <v>131</v>
      </c>
      <c r="C55" s="166" t="s">
        <v>134</v>
      </c>
      <c r="D55" s="434" t="s">
        <v>743</v>
      </c>
      <c r="E55" s="261" t="s">
        <v>51</v>
      </c>
      <c r="F55" s="261" t="s">
        <v>52</v>
      </c>
      <c r="G55" s="165" t="s">
        <v>744</v>
      </c>
      <c r="H55" s="165" t="s">
        <v>745</v>
      </c>
      <c r="I55" s="261" t="s">
        <v>746</v>
      </c>
      <c r="J55" s="440"/>
      <c r="K55" s="217"/>
      <c r="L55" s="217"/>
      <c r="M55" s="217"/>
      <c r="N55" s="217"/>
      <c r="O55" s="217"/>
      <c r="P55" s="217"/>
      <c r="Q55" s="217"/>
      <c r="R55" s="133"/>
      <c r="S55" s="133"/>
      <c r="T55" s="133"/>
      <c r="U55" s="133"/>
      <c r="V55" s="133"/>
      <c r="W55" s="133"/>
      <c r="X55" s="133"/>
      <c r="Y55" s="133"/>
      <c r="Z55" s="133"/>
      <c r="AJ55" s="292"/>
      <c r="AK55" s="292"/>
      <c r="AL55" s="292"/>
      <c r="AM55" s="292"/>
      <c r="AN55" s="292"/>
    </row>
    <row r="56" spans="1:40" x14ac:dyDescent="0.25">
      <c r="A56" s="307"/>
      <c r="B56" s="705" t="s">
        <v>1084</v>
      </c>
      <c r="C56" s="299">
        <f>'Unit costs'!O101</f>
        <v>138</v>
      </c>
      <c r="D56" s="128">
        <f>D72+D75</f>
        <v>9111.6057887561219</v>
      </c>
      <c r="E56" s="128">
        <f t="shared" ref="E56:I56" si="37">E72+E75</f>
        <v>8741.069965954126</v>
      </c>
      <c r="F56" s="128">
        <f t="shared" si="37"/>
        <v>8061.113111957613</v>
      </c>
      <c r="G56" s="128">
        <f t="shared" si="37"/>
        <v>7170.6320933794505</v>
      </c>
      <c r="H56" s="128">
        <f t="shared" si="37"/>
        <v>6262.229984782176</v>
      </c>
      <c r="I56" s="128">
        <f t="shared" si="37"/>
        <v>5921.7912884660664</v>
      </c>
      <c r="J56" s="440"/>
      <c r="K56" s="217"/>
      <c r="L56" s="217"/>
      <c r="M56" s="217"/>
      <c r="N56" s="217"/>
      <c r="O56" s="217"/>
      <c r="P56" s="217"/>
      <c r="Q56" s="217"/>
      <c r="R56" s="133"/>
      <c r="S56" s="133"/>
      <c r="T56" s="133"/>
      <c r="U56" s="133"/>
      <c r="V56" s="133"/>
      <c r="W56" s="133"/>
      <c r="X56" s="133"/>
      <c r="Y56" s="133"/>
      <c r="Z56" s="133"/>
      <c r="AJ56" s="292"/>
      <c r="AK56" s="292"/>
      <c r="AL56" s="292"/>
      <c r="AM56" s="292"/>
      <c r="AN56" s="292"/>
    </row>
    <row r="57" spans="1:40" x14ac:dyDescent="0.25">
      <c r="A57" s="307"/>
      <c r="B57" s="705" t="s">
        <v>1078</v>
      </c>
      <c r="C57" s="299">
        <f>'Unit costs'!O98</f>
        <v>345</v>
      </c>
      <c r="D57" s="128">
        <f t="shared" ref="D57:I57" si="38">D64+D66+D73+D68+D70+D77</f>
        <v>10711.828924593354</v>
      </c>
      <c r="E57" s="128">
        <f t="shared" si="38"/>
        <v>11902.114129643998</v>
      </c>
      <c r="F57" s="128">
        <f t="shared" si="38"/>
        <v>14596.324080138298</v>
      </c>
      <c r="G57" s="128">
        <f t="shared" si="38"/>
        <v>17958.323137953703</v>
      </c>
      <c r="H57" s="128">
        <f t="shared" si="38"/>
        <v>21289.91818601605</v>
      </c>
      <c r="I57" s="128">
        <f t="shared" si="38"/>
        <v>22647.829273954208</v>
      </c>
      <c r="J57" s="440"/>
      <c r="K57" s="217"/>
      <c r="L57" s="217"/>
      <c r="M57" s="217"/>
      <c r="N57" s="217"/>
      <c r="O57" s="217"/>
      <c r="P57" s="217"/>
      <c r="Q57" s="217"/>
      <c r="R57" s="133"/>
      <c r="S57" s="133"/>
      <c r="T57" s="133"/>
      <c r="U57" s="133"/>
      <c r="V57" s="133"/>
      <c r="W57" s="133"/>
      <c r="X57" s="133"/>
      <c r="Y57" s="133"/>
      <c r="Z57" s="133"/>
      <c r="AJ57" s="292"/>
      <c r="AK57" s="292"/>
      <c r="AL57" s="292"/>
      <c r="AM57" s="292"/>
      <c r="AN57" s="292"/>
    </row>
    <row r="58" spans="1:40" x14ac:dyDescent="0.25">
      <c r="A58" s="307"/>
      <c r="B58" s="705" t="s">
        <v>1081</v>
      </c>
      <c r="C58" s="299">
        <f>'Unit costs'!O99</f>
        <v>345</v>
      </c>
      <c r="D58" s="128">
        <f t="shared" ref="D58:I58" si="39">D65+D67+D74+D76+D69+D71+D78+D79</f>
        <v>113003.65722842352</v>
      </c>
      <c r="E58" s="128">
        <f t="shared" si="39"/>
        <v>113313.22787980972</v>
      </c>
      <c r="F58" s="128">
        <f t="shared" si="39"/>
        <v>114982.0710674962</v>
      </c>
      <c r="G58" s="128">
        <f t="shared" si="39"/>
        <v>119390.02773433831</v>
      </c>
      <c r="H58" s="128">
        <f t="shared" si="39"/>
        <v>123723.01029927049</v>
      </c>
      <c r="I58" s="128">
        <f t="shared" si="39"/>
        <v>127775.15513847733</v>
      </c>
      <c r="J58" s="440"/>
      <c r="K58" s="217"/>
      <c r="L58" s="217"/>
      <c r="M58" s="217"/>
      <c r="N58" s="217"/>
      <c r="O58" s="217"/>
      <c r="P58" s="217"/>
      <c r="Q58" s="217"/>
      <c r="R58" s="133"/>
      <c r="S58" s="133"/>
      <c r="T58" s="133"/>
      <c r="U58" s="133"/>
      <c r="V58" s="133"/>
      <c r="W58" s="133"/>
      <c r="X58" s="133"/>
      <c r="Y58" s="133"/>
      <c r="Z58" s="133"/>
      <c r="AJ58" s="292"/>
      <c r="AK58" s="292"/>
      <c r="AL58" s="292"/>
      <c r="AM58" s="292"/>
      <c r="AN58" s="292"/>
    </row>
    <row r="59" spans="1:40" x14ac:dyDescent="0.25">
      <c r="A59" s="307"/>
      <c r="B59" s="329"/>
      <c r="C59" s="329"/>
      <c r="D59" s="187">
        <f>SUM(D56:D58)</f>
        <v>132827.09194177299</v>
      </c>
      <c r="E59" s="187">
        <f t="shared" ref="E59:I59" si="40">SUM(E56:E58)</f>
        <v>133956.41197540786</v>
      </c>
      <c r="F59" s="187">
        <f t="shared" si="40"/>
        <v>137639.50825959211</v>
      </c>
      <c r="G59" s="187">
        <f t="shared" si="40"/>
        <v>144518.98296567146</v>
      </c>
      <c r="H59" s="187">
        <f t="shared" si="40"/>
        <v>151275.15847006871</v>
      </c>
      <c r="I59" s="187">
        <f t="shared" si="40"/>
        <v>156344.77570089762</v>
      </c>
      <c r="J59" s="440"/>
      <c r="K59" s="217"/>
      <c r="L59" s="217"/>
      <c r="M59" s="217"/>
      <c r="N59" s="217"/>
      <c r="O59" s="217"/>
      <c r="P59" s="217"/>
      <c r="Q59" s="217"/>
      <c r="R59" s="133"/>
      <c r="S59" s="133"/>
      <c r="T59" s="133"/>
      <c r="U59" s="133"/>
      <c r="V59" s="133"/>
      <c r="W59" s="133"/>
      <c r="X59" s="133"/>
      <c r="Y59" s="133"/>
      <c r="Z59" s="133"/>
      <c r="AJ59" s="292"/>
      <c r="AK59" s="292"/>
      <c r="AL59" s="292"/>
      <c r="AM59" s="292"/>
      <c r="AN59" s="292"/>
    </row>
    <row r="60" spans="1:40" x14ac:dyDescent="0.25">
      <c r="A60" s="307"/>
      <c r="B60" s="262"/>
      <c r="C60" s="262"/>
      <c r="D60" s="291" t="s">
        <v>753</v>
      </c>
      <c r="E60" s="187">
        <f>E59-D59</f>
        <v>1129.3200336348673</v>
      </c>
      <c r="F60" s="187">
        <f>F59-$D$59</f>
        <v>4812.4163178191229</v>
      </c>
      <c r="G60" s="187">
        <f>G59-$D$59</f>
        <v>11691.891023898468</v>
      </c>
      <c r="H60" s="187">
        <f>H59-$D$59</f>
        <v>18448.06652829572</v>
      </c>
      <c r="I60" s="187">
        <f>I59-$D$59</f>
        <v>23517.683759124629</v>
      </c>
      <c r="J60" s="440"/>
      <c r="K60" s="217"/>
      <c r="L60" s="217"/>
      <c r="M60" s="217"/>
      <c r="N60" s="217"/>
      <c r="O60" s="217"/>
      <c r="P60" s="217"/>
      <c r="Q60" s="217"/>
      <c r="R60" s="133"/>
      <c r="S60" s="133"/>
      <c r="T60" s="133"/>
      <c r="U60" s="133"/>
      <c r="V60" s="133"/>
      <c r="W60" s="133"/>
      <c r="X60" s="133"/>
      <c r="Y60" s="133"/>
      <c r="Z60" s="133"/>
      <c r="AJ60" s="292"/>
      <c r="AK60" s="292"/>
      <c r="AL60" s="292"/>
      <c r="AM60" s="292"/>
      <c r="AN60" s="292"/>
    </row>
    <row r="61" spans="1:40" x14ac:dyDescent="0.25">
      <c r="A61" s="302"/>
      <c r="B61" s="328"/>
      <c r="C61" s="305"/>
      <c r="D61" s="304"/>
      <c r="E61" s="305"/>
      <c r="F61" s="306"/>
      <c r="G61" s="302"/>
      <c r="H61" s="302"/>
      <c r="I61" s="303"/>
      <c r="J61" s="217"/>
      <c r="K61" s="217"/>
      <c r="L61" s="217"/>
      <c r="M61" s="217"/>
      <c r="N61" s="217"/>
      <c r="O61" s="217"/>
      <c r="P61" s="217"/>
      <c r="Q61" s="217"/>
      <c r="R61" s="133"/>
      <c r="S61" s="133"/>
      <c r="T61" s="133"/>
      <c r="U61" s="133"/>
      <c r="V61" s="133"/>
      <c r="W61" s="133"/>
      <c r="X61" s="133"/>
      <c r="Y61" s="133"/>
      <c r="Z61" s="133"/>
      <c r="AJ61" s="292"/>
      <c r="AK61" s="292"/>
      <c r="AL61" s="292"/>
      <c r="AM61" s="292"/>
      <c r="AN61" s="292"/>
    </row>
    <row r="62" spans="1:40" x14ac:dyDescent="0.25">
      <c r="A62" s="307"/>
      <c r="B62" s="398" t="s">
        <v>754</v>
      </c>
      <c r="C62" s="399"/>
      <c r="D62" s="399"/>
      <c r="E62" s="399"/>
      <c r="F62" s="399"/>
      <c r="G62" s="399"/>
      <c r="H62" s="399"/>
      <c r="I62" s="399"/>
      <c r="J62" s="440"/>
      <c r="K62" s="217"/>
      <c r="L62" s="217"/>
      <c r="M62" s="217"/>
      <c r="N62" s="217"/>
      <c r="O62" s="217"/>
      <c r="P62" s="217"/>
      <c r="Q62" s="217"/>
      <c r="R62" s="133"/>
      <c r="S62" s="133"/>
      <c r="T62" s="133"/>
      <c r="U62" s="133"/>
      <c r="V62" s="133"/>
      <c r="W62" s="133"/>
      <c r="X62" s="133"/>
      <c r="Y62" s="133"/>
      <c r="Z62" s="133"/>
      <c r="AJ62" s="292"/>
      <c r="AK62" s="292"/>
      <c r="AL62" s="292"/>
      <c r="AM62" s="292"/>
      <c r="AN62" s="292"/>
    </row>
    <row r="63" spans="1:40" ht="45" x14ac:dyDescent="0.25">
      <c r="A63" s="307"/>
      <c r="B63" s="326" t="s">
        <v>131</v>
      </c>
      <c r="C63" s="166" t="s">
        <v>755</v>
      </c>
      <c r="D63" s="434" t="s">
        <v>743</v>
      </c>
      <c r="E63" s="261" t="s">
        <v>51</v>
      </c>
      <c r="F63" s="261" t="s">
        <v>52</v>
      </c>
      <c r="G63" s="165" t="s">
        <v>744</v>
      </c>
      <c r="H63" s="165" t="s">
        <v>745</v>
      </c>
      <c r="I63" s="261" t="s">
        <v>746</v>
      </c>
      <c r="J63" s="440"/>
      <c r="K63" s="217"/>
      <c r="L63" s="217"/>
      <c r="M63" s="217"/>
      <c r="N63" s="217"/>
      <c r="O63" s="217"/>
      <c r="P63" s="217"/>
      <c r="Q63" s="217"/>
      <c r="R63" s="133"/>
      <c r="V63" s="133"/>
      <c r="AJ63" s="292"/>
      <c r="AK63" s="292"/>
      <c r="AL63" s="292"/>
      <c r="AM63" s="292"/>
      <c r="AN63" s="292"/>
    </row>
    <row r="64" spans="1:40" x14ac:dyDescent="0.25">
      <c r="A64" s="307"/>
      <c r="B64" s="358" t="s">
        <v>1169</v>
      </c>
      <c r="C64" s="128">
        <f>'Unit costs'!O10</f>
        <v>10.428571428571429</v>
      </c>
      <c r="D64" s="128">
        <f>D$7*'Inputs and eligible population'!E70*$C$64</f>
        <v>0</v>
      </c>
      <c r="E64" s="128">
        <f>E$7*'Inputs and eligible population'!F70*$C$64</f>
        <v>1242.4577098884117</v>
      </c>
      <c r="F64" s="128">
        <f>F$7*'Inputs and eligible population'!G70*$C$64</f>
        <v>2733.6696506437938</v>
      </c>
      <c r="G64" s="128">
        <f>G$7*'Inputs and eligible population'!H70*$C$64</f>
        <v>4140.0407506279307</v>
      </c>
      <c r="H64" s="128">
        <f>H$7*'Inputs and eligible population'!I70*$C$64</f>
        <v>5573.2776352510737</v>
      </c>
      <c r="I64" s="128">
        <f>I$7*'Inputs and eligible population'!J70*$C$64</f>
        <v>5627.0141051531846</v>
      </c>
      <c r="J64" s="440"/>
      <c r="K64" s="217"/>
      <c r="L64" s="217"/>
      <c r="M64" s="217"/>
      <c r="N64" s="217"/>
      <c r="O64" s="217"/>
      <c r="P64" s="217"/>
      <c r="Q64" s="217"/>
      <c r="R64" s="133"/>
      <c r="V64" s="133"/>
      <c r="AJ64" s="292"/>
      <c r="AK64" s="292"/>
      <c r="AL64" s="292"/>
      <c r="AM64" s="292"/>
      <c r="AN64" s="292"/>
    </row>
    <row r="65" spans="1:40" x14ac:dyDescent="0.25">
      <c r="A65" s="307"/>
      <c r="B65" s="357" t="s">
        <v>1170</v>
      </c>
      <c r="C65" s="128">
        <f>'Unit costs'!O10*'Unit costs'!N10-C64</f>
        <v>31.285714285714285</v>
      </c>
      <c r="D65" s="128">
        <f>D$7*'Inputs and eligible population'!E70*$C$65</f>
        <v>0</v>
      </c>
      <c r="E65" s="128">
        <f>E$7*'Inputs and eligible population'!F70*$C$65</f>
        <v>3727.373129665235</v>
      </c>
      <c r="F65" s="128">
        <f>F$7*'Inputs and eligible population'!G70*$C$65</f>
        <v>8201.0089519313806</v>
      </c>
      <c r="G65" s="128">
        <f>G$7*'Inputs and eligible population'!H70*$C$65</f>
        <v>12420.122251883791</v>
      </c>
      <c r="H65" s="128">
        <f>H$7*'Inputs and eligible population'!I70*$C$65</f>
        <v>16719.832905753217</v>
      </c>
      <c r="I65" s="128">
        <f>I$7*'Inputs and eligible population'!J70*$C$65</f>
        <v>16881.042315459552</v>
      </c>
      <c r="J65" s="440"/>
      <c r="K65" s="217"/>
      <c r="L65" s="217"/>
      <c r="M65" s="217"/>
      <c r="N65" s="217"/>
      <c r="O65" s="217"/>
      <c r="P65" s="217"/>
      <c r="Q65" s="217"/>
      <c r="R65" s="133"/>
      <c r="V65" s="133"/>
      <c r="AJ65" s="292"/>
      <c r="AK65" s="292"/>
      <c r="AL65" s="292"/>
      <c r="AM65" s="292"/>
      <c r="AN65" s="292"/>
    </row>
    <row r="66" spans="1:40" x14ac:dyDescent="0.25">
      <c r="A66" s="307"/>
      <c r="B66" s="357" t="s">
        <v>1171</v>
      </c>
      <c r="C66" s="128">
        <f>'Unit costs'!O15</f>
        <v>1.5342857142857136</v>
      </c>
      <c r="D66" s="128">
        <v>0</v>
      </c>
      <c r="E66" s="128">
        <v>0</v>
      </c>
      <c r="F66" s="128">
        <f>E$7*'Inputs and eligible population'!$F$70*$C$66</f>
        <v>182.79446307125392</v>
      </c>
      <c r="G66" s="128">
        <f>F$7*'Inputs and eligible population'!$G$70*$C$66</f>
        <v>402.18646640978534</v>
      </c>
      <c r="H66" s="128">
        <f>G$7*'Inputs and eligible population'!$H$70*$C$66</f>
        <v>609.09640632525964</v>
      </c>
      <c r="I66" s="128">
        <f>H$7*'Inputs and eligible population'!$I$70*$C$66</f>
        <v>819.95892880269173</v>
      </c>
      <c r="J66" s="440"/>
      <c r="K66" s="217"/>
      <c r="L66" s="217"/>
      <c r="M66" s="217"/>
      <c r="N66" s="217"/>
      <c r="O66" s="217"/>
      <c r="P66" s="217"/>
      <c r="Q66" s="217"/>
      <c r="R66" s="133"/>
      <c r="V66" s="133"/>
      <c r="AJ66" s="292"/>
      <c r="AK66" s="292"/>
      <c r="AL66" s="292"/>
      <c r="AM66" s="292"/>
      <c r="AN66" s="292"/>
    </row>
    <row r="67" spans="1:40" x14ac:dyDescent="0.25">
      <c r="A67" s="307"/>
      <c r="B67" s="357" t="s">
        <v>1172</v>
      </c>
      <c r="C67" s="128">
        <f>'Unit costs'!O15*'Unit costs'!N15-C66</f>
        <v>4.6028571428571405</v>
      </c>
      <c r="D67" s="128">
        <v>0</v>
      </c>
      <c r="E67" s="128">
        <v>0</v>
      </c>
      <c r="F67" s="128">
        <f>E$7*'Inputs and eligible population'!$F$70*$C$67</f>
        <v>548.38338921376169</v>
      </c>
      <c r="G67" s="128">
        <f>F$7*'Inputs and eligible population'!$G$70*$C$67</f>
        <v>1206.5593992293559</v>
      </c>
      <c r="H67" s="128">
        <f>G$7*'Inputs and eligible population'!$H$70*$C$67</f>
        <v>1827.2892189757788</v>
      </c>
      <c r="I67" s="128">
        <f>H$7*'Inputs and eligible population'!$I$70*$C$67</f>
        <v>2459.8767864080751</v>
      </c>
      <c r="J67" s="440"/>
      <c r="K67" s="217"/>
      <c r="L67" s="217"/>
      <c r="M67" s="217"/>
      <c r="N67" s="217"/>
      <c r="O67" s="217"/>
      <c r="P67" s="217"/>
      <c r="Q67" s="217"/>
      <c r="R67" s="133"/>
      <c r="V67" s="133"/>
      <c r="AJ67" s="292"/>
      <c r="AK67" s="292"/>
      <c r="AL67" s="292"/>
      <c r="AM67" s="292"/>
      <c r="AN67" s="292"/>
    </row>
    <row r="68" spans="1:40" x14ac:dyDescent="0.25">
      <c r="A68" s="307"/>
      <c r="B68" s="357" t="s">
        <v>1174</v>
      </c>
      <c r="C68" s="128">
        <f>'Unit costs'!O36+'Unit costs'!O37+'Unit costs'!O38</f>
        <v>13</v>
      </c>
      <c r="D68" s="128">
        <f>D$7*'Inputs and eligible population'!E71*$C$68</f>
        <v>1114.3167467497303</v>
      </c>
      <c r="E68" s="128">
        <f>E$7*'Inputs and eligible population'!F71*$C$68</f>
        <v>1548.8171452033625</v>
      </c>
      <c r="F68" s="128">
        <f>F$7*'Inputs and eligible population'!G71*$C$68</f>
        <v>3407.7251809395234</v>
      </c>
      <c r="G68" s="128">
        <f>G$7*'Inputs and eligible population'!H71*$C$68</f>
        <v>5160.872716536187</v>
      </c>
      <c r="H68" s="128">
        <f>H$7*'Inputs and eligible population'!I71*$C$68</f>
        <v>6947.5104768198307</v>
      </c>
      <c r="I68" s="128">
        <f>I$7*'Inputs and eligible population'!J71*$C$68</f>
        <v>7014.4970351909551</v>
      </c>
      <c r="J68" s="440"/>
      <c r="K68" s="217"/>
      <c r="L68" s="217"/>
      <c r="M68" s="217"/>
      <c r="N68" s="217"/>
      <c r="O68" s="217"/>
      <c r="P68" s="217"/>
      <c r="Q68" s="217"/>
      <c r="R68" s="133"/>
      <c r="V68" s="133"/>
      <c r="AJ68" s="292"/>
      <c r="AK68" s="292"/>
      <c r="AL68" s="292"/>
      <c r="AM68" s="292"/>
      <c r="AN68" s="292"/>
    </row>
    <row r="69" spans="1:40" x14ac:dyDescent="0.25">
      <c r="A69" s="307"/>
      <c r="B69" s="357" t="s">
        <v>1175</v>
      </c>
      <c r="C69" s="128">
        <f>('Unit costs'!N36*'Unit costs'!O36)+('Unit costs'!N37*'Unit costs'!O37)+('Unit costs'!N38*'Unit costs'!O38)-'Capacity (local prices) 2nd'!C68</f>
        <v>59</v>
      </c>
      <c r="D69" s="128">
        <f>D$7*'Inputs and eligible population'!E71*$C$69</f>
        <v>5057.2836967872372</v>
      </c>
      <c r="E69" s="128">
        <f>E$7*'Inputs and eligible population'!F71*$C$69</f>
        <v>7029.2470436152607</v>
      </c>
      <c r="F69" s="128">
        <f>F$7*'Inputs and eligible population'!G71*$C$69</f>
        <v>15465.829667340915</v>
      </c>
      <c r="G69" s="128">
        <f>G$7*'Inputs and eligible population'!H71*$C$69</f>
        <v>23422.422328895005</v>
      </c>
      <c r="H69" s="128">
        <f>H$7*'Inputs and eligible population'!I71*$C$69</f>
        <v>31531.009087105387</v>
      </c>
      <c r="I69" s="128">
        <f>I$7*'Inputs and eligible population'!J71*$C$69</f>
        <v>31835.025005866642</v>
      </c>
      <c r="J69" s="217"/>
      <c r="K69" s="217"/>
      <c r="L69" s="217"/>
      <c r="M69" s="217"/>
      <c r="N69" s="217"/>
      <c r="O69" s="217"/>
      <c r="P69" s="217"/>
      <c r="Q69" s="217"/>
      <c r="R69" s="133"/>
      <c r="V69" s="133"/>
      <c r="AJ69" s="292"/>
      <c r="AK69" s="292"/>
      <c r="AL69" s="292"/>
      <c r="AM69" s="292"/>
      <c r="AN69" s="292"/>
    </row>
    <row r="70" spans="1:40" x14ac:dyDescent="0.25">
      <c r="A70" s="307"/>
      <c r="B70" s="357" t="s">
        <v>1176</v>
      </c>
      <c r="C70" s="128">
        <f>'Unit costs'!O42</f>
        <v>7.0928571428571434</v>
      </c>
      <c r="D70" s="128">
        <f>D$7*'Inputs and eligible population'!E71*C70</f>
        <v>607.97611512224296</v>
      </c>
      <c r="E70" s="128">
        <f>D$7*'Inputs and eligible population'!E71*$C$70</f>
        <v>607.97611512224296</v>
      </c>
      <c r="F70" s="128">
        <f>E$7*'Inputs and eligible population'!F71*$C$70</f>
        <v>845.04144241040615</v>
      </c>
      <c r="G70" s="128">
        <f>F$7*'Inputs and eligible population'!G71*$C$70</f>
        <v>1859.2698377323886</v>
      </c>
      <c r="H70" s="128">
        <f>G$7*'Inputs and eligible population'!H71*$C$70</f>
        <v>2815.794839296942</v>
      </c>
      <c r="I70" s="128">
        <f>H$7*'Inputs and eligible population'!I71*$C$70</f>
        <v>3790.5922546604902</v>
      </c>
      <c r="J70" s="217"/>
      <c r="K70" s="217"/>
      <c r="L70" s="217"/>
      <c r="M70" s="217"/>
      <c r="N70" s="217"/>
      <c r="O70" s="217"/>
      <c r="P70" s="217"/>
      <c r="Q70" s="217"/>
      <c r="R70" s="133"/>
      <c r="V70" s="133"/>
      <c r="AJ70" s="292"/>
      <c r="AK70" s="292"/>
      <c r="AL70" s="292"/>
      <c r="AM70" s="292"/>
      <c r="AN70" s="292"/>
    </row>
    <row r="71" spans="1:40" x14ac:dyDescent="0.25">
      <c r="A71" s="307"/>
      <c r="B71" s="357" t="s">
        <v>1177</v>
      </c>
      <c r="C71" s="128">
        <f>('Unit costs'!N42*'Unit costs'!O42)-'Capacity (local prices) 2nd'!C70</f>
        <v>35.464285714285722</v>
      </c>
      <c r="D71" s="128">
        <f>D$7*'Inputs and eligible population'!E71*$C$71</f>
        <v>3039.8805756112151</v>
      </c>
      <c r="E71" s="128">
        <f>D$7*'Inputs and eligible population'!E71*$C$71</f>
        <v>3039.8805756112151</v>
      </c>
      <c r="F71" s="128">
        <f>E$7*'Inputs and eligible population'!F71*$C$71</f>
        <v>4225.2072120520315</v>
      </c>
      <c r="G71" s="128">
        <f>F$7*'Inputs and eligible population'!G71*$C$71</f>
        <v>9296.3491886619431</v>
      </c>
      <c r="H71" s="128">
        <f>G$7*'Inputs and eligible population'!H71*$C$71</f>
        <v>14078.974196484713</v>
      </c>
      <c r="I71" s="128">
        <f>H$7*'Inputs and eligible population'!I71*$C$71</f>
        <v>18952.961273302455</v>
      </c>
      <c r="J71" s="217"/>
      <c r="K71" s="217"/>
      <c r="L71" s="217"/>
      <c r="M71" s="217"/>
      <c r="N71" s="217"/>
      <c r="O71" s="217"/>
      <c r="P71" s="217"/>
      <c r="Q71" s="217"/>
      <c r="R71" s="133"/>
      <c r="V71" s="133"/>
      <c r="AJ71" s="292"/>
      <c r="AK71" s="292"/>
      <c r="AL71" s="292"/>
      <c r="AM71" s="292"/>
      <c r="AN71" s="292"/>
    </row>
    <row r="72" spans="1:40" x14ac:dyDescent="0.25">
      <c r="A72" s="307"/>
      <c r="B72" s="357" t="s">
        <v>1173</v>
      </c>
      <c r="C72" s="128">
        <f>'Unit costs'!O19</f>
        <v>13.035714285714286</v>
      </c>
      <c r="D72" s="128">
        <f>D$7*'Inputs and eligible population'!E72*$C$72</f>
        <v>5447.2180254060477</v>
      </c>
      <c r="E72" s="128">
        <f>E$7*'Inputs and eligible population'!F72*$C$72</f>
        <v>5076.6822026040518</v>
      </c>
      <c r="F72" s="128">
        <f>F$7*'Inputs and eligible population'!G72*$C$72</f>
        <v>4556.1160844063234</v>
      </c>
      <c r="G72" s="128">
        <f>G$7*'Inputs and eligible population'!H72*$C$72</f>
        <v>4025.0396186660441</v>
      </c>
      <c r="H72" s="128">
        <f>H$7*'Inputs and eligible population'!I72*$C$72</f>
        <v>3483.298522031921</v>
      </c>
      <c r="I72" s="128">
        <f>I$7*'Inputs and eligible population'!J72*$C$72</f>
        <v>3516.8838157207401</v>
      </c>
      <c r="J72" s="440"/>
      <c r="K72" s="217"/>
      <c r="L72" s="217"/>
      <c r="M72" s="217"/>
      <c r="N72" s="217"/>
      <c r="O72" s="217"/>
      <c r="P72" s="217"/>
      <c r="Q72" s="217"/>
      <c r="R72" s="133"/>
      <c r="V72" s="133"/>
      <c r="AJ72" s="292"/>
      <c r="AK72" s="292"/>
      <c r="AL72" s="292"/>
      <c r="AM72" s="292"/>
      <c r="AN72" s="292"/>
    </row>
    <row r="73" spans="1:40" x14ac:dyDescent="0.25">
      <c r="A73" s="307"/>
      <c r="B73" s="357" t="s">
        <v>1268</v>
      </c>
      <c r="C73" s="128">
        <f>'Unit costs'!O23+'Unit costs'!O24+'Unit costs'!O25</f>
        <v>13</v>
      </c>
      <c r="D73" s="128">
        <f>D$7*'Inputs and eligible population'!E73*$C$73</f>
        <v>5293.0045470612185</v>
      </c>
      <c r="E73" s="128">
        <f>E$7*'Inputs and eligible population'!F73*$C$73</f>
        <v>5062.7734842407526</v>
      </c>
      <c r="F73" s="128">
        <f>F$7*'Inputs and eligible population'!G73*$C$73</f>
        <v>4543.6335745860315</v>
      </c>
      <c r="G73" s="128">
        <f>G$7*'Inputs and eligible population'!H73*$C$73</f>
        <v>4014.0121128614796</v>
      </c>
      <c r="H73" s="128">
        <f>H$7*'Inputs and eligible population'!I73*$C$73</f>
        <v>3473.7552384099154</v>
      </c>
      <c r="I73" s="128">
        <f>I$7*'Inputs and eligible population'!J73*$C$73</f>
        <v>3507.2485175954776</v>
      </c>
      <c r="J73" s="440"/>
      <c r="K73" s="217"/>
      <c r="L73" s="217"/>
      <c r="M73" s="217"/>
      <c r="N73" s="217"/>
      <c r="O73" s="217"/>
      <c r="P73" s="217"/>
      <c r="Q73" s="217"/>
      <c r="R73" s="133"/>
      <c r="V73" s="133"/>
      <c r="AJ73" s="292"/>
      <c r="AK73" s="292"/>
      <c r="AL73" s="292"/>
      <c r="AM73" s="292"/>
      <c r="AN73" s="292"/>
    </row>
    <row r="74" spans="1:40" x14ac:dyDescent="0.25">
      <c r="A74" s="307"/>
      <c r="B74" s="357" t="s">
        <v>1269</v>
      </c>
      <c r="C74" s="128">
        <f>'Unit costs'!N23*'Unit costs'!O23+'Unit costs'!N24*'Unit costs'!O24+'Unit costs'!N25*'Unit costs'!O25+'Unit costs'!N26*'Unit costs'!O26-'Capacity (local prices) 2nd'!C73</f>
        <v>63</v>
      </c>
      <c r="D74" s="128">
        <f>D$7*'Inputs and eligible population'!E73*$C$74</f>
        <v>25650.71434345052</v>
      </c>
      <c r="E74" s="128">
        <f>E$7*'Inputs and eligible population'!F73*$C$74</f>
        <v>24534.979192859031</v>
      </c>
      <c r="F74" s="128">
        <f>F$7*'Inputs and eligible population'!G73*$C$74</f>
        <v>22019.147322993846</v>
      </c>
      <c r="G74" s="128">
        <f>G$7*'Inputs and eligible population'!H73*$C$74</f>
        <v>19452.520239251786</v>
      </c>
      <c r="H74" s="128">
        <f>H$7*'Inputs and eligible population'!I73*$C$74</f>
        <v>16834.352309217284</v>
      </c>
      <c r="I74" s="128">
        <f>I$7*'Inputs and eligible population'!J73*$C$74</f>
        <v>16996.665892962701</v>
      </c>
      <c r="J74" s="440"/>
      <c r="K74" s="217"/>
      <c r="L74" s="217"/>
      <c r="M74" s="217"/>
      <c r="N74" s="217"/>
      <c r="O74" s="217"/>
      <c r="P74" s="217"/>
      <c r="Q74" s="217"/>
      <c r="R74" s="133"/>
      <c r="V74" s="133"/>
      <c r="AJ74" s="292"/>
      <c r="AK74" s="292"/>
      <c r="AL74" s="292"/>
      <c r="AM74" s="292"/>
      <c r="AN74" s="292"/>
    </row>
    <row r="75" spans="1:40" x14ac:dyDescent="0.25">
      <c r="A75" s="307"/>
      <c r="B75" s="357" t="s">
        <v>1270</v>
      </c>
      <c r="C75" s="128">
        <f>'Unit costs'!O32</f>
        <v>9</v>
      </c>
      <c r="D75" s="128">
        <f>D$7*'Inputs and eligible population'!E73*$C$75</f>
        <v>3664.3877633500742</v>
      </c>
      <c r="E75" s="128">
        <f>D$7*'Inputs and eligible population'!E73*$C$75</f>
        <v>3664.3877633500742</v>
      </c>
      <c r="F75" s="128">
        <f>E$7*'Inputs and eligible population'!F73*$C$75</f>
        <v>3504.9970275512901</v>
      </c>
      <c r="G75" s="128">
        <f>F$7*'Inputs and eligible population'!G73*$C$75</f>
        <v>3145.5924747134068</v>
      </c>
      <c r="H75" s="128">
        <f>G$7*'Inputs and eligible population'!H73*$C$75</f>
        <v>2778.9314627502549</v>
      </c>
      <c r="I75" s="128">
        <f>H$7*'Inputs and eligible population'!I73*$C$75</f>
        <v>2404.9074727453262</v>
      </c>
      <c r="J75" s="440"/>
      <c r="K75" s="217"/>
      <c r="L75" s="217"/>
      <c r="M75" s="217"/>
      <c r="N75" s="217"/>
      <c r="O75" s="217"/>
      <c r="P75" s="217"/>
      <c r="Q75" s="217"/>
      <c r="R75" s="133"/>
      <c r="V75" s="133"/>
      <c r="AJ75" s="292"/>
      <c r="AK75" s="292"/>
      <c r="AL75" s="292"/>
      <c r="AM75" s="292"/>
      <c r="AN75" s="292"/>
    </row>
    <row r="76" spans="1:40" x14ac:dyDescent="0.25">
      <c r="A76" s="307"/>
      <c r="B76" s="357" t="s">
        <v>1271</v>
      </c>
      <c r="C76" s="128">
        <f>'Unit costs'!O31*'Unit costs'!N31</f>
        <v>4</v>
      </c>
      <c r="D76" s="128">
        <f>D$7*'Inputs and eligible population'!E73*$C$76</f>
        <v>1628.6167837111441</v>
      </c>
      <c r="E76" s="128">
        <f>D$7*'Inputs and eligible population'!E73*$C$76</f>
        <v>1628.6167837111441</v>
      </c>
      <c r="F76" s="128">
        <f>E$7*'Inputs and eligible population'!F73*$C$76</f>
        <v>1557.7764566894623</v>
      </c>
      <c r="G76" s="128">
        <f>F$7*'Inputs and eligible population'!G73*$C$76</f>
        <v>1398.0410998726252</v>
      </c>
      <c r="H76" s="128">
        <f>G$7*'Inputs and eligible population'!H73*$C$76</f>
        <v>1235.0806501112245</v>
      </c>
      <c r="I76" s="128">
        <f>H$7*'Inputs and eligible population'!I73*$C$76</f>
        <v>1068.8477656645894</v>
      </c>
      <c r="J76" s="440"/>
      <c r="K76" s="217"/>
      <c r="L76" s="217"/>
      <c r="M76" s="217"/>
      <c r="N76" s="217"/>
      <c r="O76" s="217"/>
      <c r="P76" s="217"/>
      <c r="Q76" s="217"/>
      <c r="R76" s="133"/>
      <c r="V76" s="133"/>
      <c r="AJ76" s="292"/>
      <c r="AK76" s="292"/>
      <c r="AL76" s="292"/>
      <c r="AM76" s="292"/>
      <c r="AN76" s="292"/>
    </row>
    <row r="77" spans="1:40" x14ac:dyDescent="0.25">
      <c r="A77" s="307"/>
      <c r="B77" s="706" t="s">
        <v>1178</v>
      </c>
      <c r="C77" s="128">
        <f>'Unit costs'!N46+'Unit costs'!N47+'Unit costs'!N48</f>
        <v>3</v>
      </c>
      <c r="D77" s="128">
        <f>D$7*'Inputs and eligible population'!E74*$C$77</f>
        <v>3696.5315156601623</v>
      </c>
      <c r="E77" s="128">
        <f>E$7*'Inputs and eligible population'!F74*$C$77</f>
        <v>3440.0896751892292</v>
      </c>
      <c r="F77" s="128">
        <f>F$7*'Inputs and eligible population'!G74*$C$77</f>
        <v>2883.4597684872892</v>
      </c>
      <c r="G77" s="128">
        <f>G$7*'Inputs and eligible population'!H74*$C$77</f>
        <v>2381.9412537859325</v>
      </c>
      <c r="H77" s="128">
        <f>H$7*'Inputs and eligible population'!I74*$C$77</f>
        <v>1870.4835899130314</v>
      </c>
      <c r="I77" s="128">
        <f>I$7*'Inputs and eligible population'!J74*$C$77</f>
        <v>1888.518432551411</v>
      </c>
      <c r="J77" s="217"/>
      <c r="K77" s="217"/>
      <c r="L77" s="217"/>
      <c r="M77" s="217"/>
      <c r="N77" s="217"/>
      <c r="O77" s="217"/>
      <c r="P77" s="217"/>
      <c r="Q77" s="217"/>
      <c r="R77" s="133"/>
      <c r="V77" s="133"/>
      <c r="AJ77" s="292"/>
      <c r="AK77" s="292"/>
      <c r="AL77" s="292"/>
      <c r="AM77" s="292"/>
      <c r="AN77" s="292"/>
    </row>
    <row r="78" spans="1:40" x14ac:dyDescent="0.25">
      <c r="A78" s="307"/>
      <c r="B78" s="706" t="s">
        <v>1179</v>
      </c>
      <c r="C78" s="128">
        <f>'Unit costs'!O46+'Unit costs'!O47+'Unit costs'!O48+'Unit costs'!O49*'Unit costs'!N49-C77</f>
        <v>50</v>
      </c>
      <c r="D78" s="128">
        <f>D$7*'Inputs and eligible population'!E74*$C$78</f>
        <v>61608.858594336038</v>
      </c>
      <c r="E78" s="128">
        <f>E$7*'Inputs and eligible population'!F74*$C$78</f>
        <v>57334.827919820484</v>
      </c>
      <c r="F78" s="128">
        <f>F$7*'Inputs and eligible population'!G74*$C$78</f>
        <v>48057.662808121488</v>
      </c>
      <c r="G78" s="128">
        <f>G$7*'Inputs and eligible population'!H74*$C$78</f>
        <v>39699.020896432208</v>
      </c>
      <c r="H78" s="128">
        <f>H$7*'Inputs and eligible population'!I74*$C$78</f>
        <v>31174.726498550524</v>
      </c>
      <c r="I78" s="128">
        <f>I$7*'Inputs and eligible population'!J74*$C$78</f>
        <v>31475.307209190185</v>
      </c>
      <c r="J78" s="217"/>
      <c r="K78" s="217"/>
      <c r="L78" s="217"/>
      <c r="M78" s="217"/>
      <c r="N78" s="217"/>
      <c r="O78" s="217"/>
      <c r="P78" s="217"/>
      <c r="Q78" s="217"/>
      <c r="R78" s="133"/>
      <c r="V78" s="133"/>
      <c r="AJ78" s="292"/>
      <c r="AK78" s="292"/>
      <c r="AL78" s="292"/>
      <c r="AM78" s="292"/>
      <c r="AN78" s="292"/>
    </row>
    <row r="79" spans="1:40" x14ac:dyDescent="0.25">
      <c r="A79" s="307"/>
      <c r="B79" s="706" t="s">
        <v>1180</v>
      </c>
      <c r="C79" s="128">
        <f>'Unit costs'!O53</f>
        <v>13</v>
      </c>
      <c r="D79" s="128">
        <f>D$7*'Inputs and eligible population'!E74*$C$79</f>
        <v>16018.30323452737</v>
      </c>
      <c r="E79" s="128">
        <f>D$7*'Inputs and eligible population'!E74*$C$79</f>
        <v>16018.30323452737</v>
      </c>
      <c r="F79" s="128">
        <f>E$7*'Inputs and eligible population'!F74*$C$79</f>
        <v>14907.055259153327</v>
      </c>
      <c r="G79" s="128">
        <f>F$7*'Inputs and eligible population'!G74*$C$79</f>
        <v>12494.992330111587</v>
      </c>
      <c r="H79" s="128">
        <f>G$7*'Inputs and eligible population'!H74*$C$79</f>
        <v>10321.745433072374</v>
      </c>
      <c r="I79" s="128">
        <f>H$7*'Inputs and eligible population'!I74*$C$79</f>
        <v>8105.4288896231365</v>
      </c>
      <c r="J79" s="217"/>
      <c r="K79" s="217"/>
      <c r="L79" s="217"/>
      <c r="M79" s="217"/>
      <c r="N79" s="217"/>
      <c r="O79" s="217"/>
      <c r="P79" s="217"/>
      <c r="Q79" s="217"/>
      <c r="R79" s="133"/>
      <c r="V79" s="133"/>
      <c r="AJ79" s="292"/>
      <c r="AK79" s="292"/>
      <c r="AL79" s="292"/>
      <c r="AM79" s="292"/>
      <c r="AN79" s="292"/>
    </row>
    <row r="80" spans="1:40" x14ac:dyDescent="0.25">
      <c r="A80" s="307"/>
      <c r="B80" s="329"/>
      <c r="C80" s="329"/>
      <c r="D80" s="187">
        <f t="shared" ref="D80:H80" si="41">SUM(D64:D79)</f>
        <v>132827.09194177302</v>
      </c>
      <c r="E80" s="187">
        <f t="shared" si="41"/>
        <v>133956.41197540789</v>
      </c>
      <c r="F80" s="187">
        <f t="shared" si="41"/>
        <v>137639.50825959214</v>
      </c>
      <c r="G80" s="187">
        <f t="shared" si="41"/>
        <v>144518.98296567149</v>
      </c>
      <c r="H80" s="187">
        <f t="shared" si="41"/>
        <v>151275.15847006874</v>
      </c>
      <c r="I80" s="187">
        <f>SUM(I64:I79)</f>
        <v>156344.77570089762</v>
      </c>
      <c r="J80" s="302"/>
      <c r="K80" s="302"/>
      <c r="L80" s="302"/>
      <c r="M80" s="302"/>
      <c r="N80" s="302"/>
      <c r="O80" s="302"/>
      <c r="P80" s="302"/>
      <c r="Q80" s="302"/>
      <c r="R80" s="133"/>
      <c r="V80" s="133"/>
      <c r="AJ80" s="292"/>
      <c r="AK80" s="292"/>
      <c r="AL80" s="292"/>
      <c r="AM80" s="292"/>
      <c r="AN80" s="292"/>
    </row>
    <row r="81" spans="1:40" x14ac:dyDescent="0.25">
      <c r="A81" s="307"/>
      <c r="B81" s="262"/>
      <c r="C81" s="262"/>
      <c r="D81" s="291" t="s">
        <v>756</v>
      </c>
      <c r="E81" s="187">
        <f>E80-$D$80</f>
        <v>1129.3200336348673</v>
      </c>
      <c r="F81" s="187">
        <f>F80-$D$80</f>
        <v>4812.4163178191229</v>
      </c>
      <c r="G81" s="187">
        <f>G80-$D$80</f>
        <v>11691.891023898468</v>
      </c>
      <c r="H81" s="187">
        <f>H80-$D$80</f>
        <v>18448.06652829572</v>
      </c>
      <c r="I81" s="187">
        <f>I80-$D$80</f>
        <v>23517.6837591246</v>
      </c>
      <c r="J81" s="302"/>
      <c r="K81" s="302"/>
      <c r="L81" s="302"/>
      <c r="M81" s="302"/>
      <c r="N81" s="302"/>
      <c r="O81" s="302"/>
      <c r="P81" s="302"/>
      <c r="Q81" s="302"/>
      <c r="R81" s="133"/>
      <c r="S81" s="133"/>
      <c r="T81" s="133"/>
      <c r="U81" s="133"/>
      <c r="V81" s="133"/>
      <c r="W81" s="133"/>
      <c r="X81" s="133"/>
      <c r="Y81" s="133"/>
      <c r="Z81" s="133"/>
      <c r="AJ81" s="292"/>
      <c r="AK81" s="292"/>
      <c r="AL81" s="292"/>
      <c r="AM81" s="292"/>
      <c r="AN81" s="292"/>
    </row>
    <row r="82" spans="1:40" x14ac:dyDescent="0.25">
      <c r="A82" s="302"/>
      <c r="B82" s="328"/>
      <c r="C82" s="305"/>
      <c r="D82" s="305"/>
      <c r="E82" s="306"/>
      <c r="F82" s="302"/>
      <c r="G82" s="302"/>
      <c r="H82" s="217"/>
      <c r="I82" s="217"/>
      <c r="J82" s="217"/>
      <c r="K82" s="217"/>
      <c r="L82" s="217"/>
      <c r="M82" s="217"/>
      <c r="N82" s="217"/>
      <c r="O82" s="217"/>
      <c r="P82" s="217"/>
      <c r="Q82" s="217"/>
      <c r="R82" s="133"/>
      <c r="S82" s="133"/>
      <c r="T82" s="133"/>
      <c r="U82" s="133"/>
      <c r="V82" s="133"/>
      <c r="W82" s="133"/>
      <c r="X82" s="133"/>
      <c r="Y82" s="133"/>
      <c r="Z82" s="133"/>
      <c r="AJ82" s="292"/>
      <c r="AK82" s="292"/>
      <c r="AL82" s="292"/>
      <c r="AM82" s="292"/>
      <c r="AN82" s="292"/>
    </row>
    <row r="83" spans="1:40" x14ac:dyDescent="0.25">
      <c r="A83" s="293"/>
      <c r="B83" s="330" t="s">
        <v>757</v>
      </c>
      <c r="C83" s="308"/>
      <c r="D83" s="308"/>
      <c r="E83" s="309"/>
      <c r="F83" s="310"/>
      <c r="G83" s="311"/>
      <c r="H83" s="311"/>
      <c r="I83" s="311"/>
      <c r="J83" s="445"/>
      <c r="K83" s="293"/>
      <c r="L83" s="293"/>
      <c r="M83" s="293"/>
      <c r="N83" s="293"/>
      <c r="O83" s="293"/>
      <c r="P83" s="293"/>
      <c r="Q83" s="219"/>
      <c r="R83" s="133"/>
      <c r="V83" s="133"/>
    </row>
    <row r="84" spans="1:40" x14ac:dyDescent="0.25">
      <c r="A84" s="293"/>
      <c r="B84" s="400" t="s">
        <v>758</v>
      </c>
      <c r="C84" s="401"/>
      <c r="D84" s="401"/>
      <c r="E84" s="401"/>
      <c r="F84" s="401"/>
      <c r="G84" s="401"/>
      <c r="H84" s="401"/>
      <c r="I84" s="218"/>
      <c r="J84" s="442"/>
      <c r="K84" s="219"/>
      <c r="L84" s="441"/>
      <c r="M84" s="441"/>
      <c r="N84" s="441"/>
      <c r="O84" s="441"/>
      <c r="P84" s="441"/>
      <c r="Q84" s="441"/>
      <c r="R84" s="133"/>
      <c r="V84" s="133"/>
    </row>
    <row r="85" spans="1:40" ht="74.45" customHeight="1" x14ac:dyDescent="0.25">
      <c r="A85" s="293"/>
      <c r="B85" s="288" t="s">
        <v>131</v>
      </c>
      <c r="C85" s="166" t="s">
        <v>759</v>
      </c>
      <c r="D85" s="434" t="s">
        <v>743</v>
      </c>
      <c r="E85" s="261" t="s">
        <v>51</v>
      </c>
      <c r="F85" s="261" t="s">
        <v>52</v>
      </c>
      <c r="G85" s="165" t="s">
        <v>744</v>
      </c>
      <c r="H85" s="165" t="s">
        <v>745</v>
      </c>
      <c r="I85" s="261" t="s">
        <v>746</v>
      </c>
      <c r="J85" s="445"/>
      <c r="K85" s="746" t="s">
        <v>1252</v>
      </c>
      <c r="L85" s="434" t="s">
        <v>743</v>
      </c>
      <c r="M85" s="588" t="s">
        <v>51</v>
      </c>
      <c r="N85" s="588" t="s">
        <v>52</v>
      </c>
      <c r="O85" s="435" t="s">
        <v>744</v>
      </c>
      <c r="P85" s="435" t="s">
        <v>745</v>
      </c>
      <c r="Q85" s="588" t="s">
        <v>746</v>
      </c>
      <c r="R85" s="133"/>
      <c r="V85" s="133"/>
    </row>
    <row r="86" spans="1:40" x14ac:dyDescent="0.25">
      <c r="A86" s="293"/>
      <c r="B86" s="358" t="s">
        <v>1247</v>
      </c>
      <c r="C86" s="149">
        <f>'Inputs and eligible population'!F102</f>
        <v>10</v>
      </c>
      <c r="D86" s="128">
        <f t="shared" ref="D86:I86" si="42">((D64+D65+D66+D67)*$C$86)/60</f>
        <v>0</v>
      </c>
      <c r="E86" s="128">
        <f t="shared" si="42"/>
        <v>828.30513992560782</v>
      </c>
      <c r="F86" s="128">
        <f t="shared" si="42"/>
        <v>1944.3094091433647</v>
      </c>
      <c r="G86" s="128">
        <f t="shared" si="42"/>
        <v>3028.1514780251437</v>
      </c>
      <c r="H86" s="128">
        <f t="shared" si="42"/>
        <v>4121.5826943842221</v>
      </c>
      <c r="I86" s="128">
        <f t="shared" si="42"/>
        <v>4297.9820226372512</v>
      </c>
      <c r="J86" s="293"/>
      <c r="K86" s="747">
        <f>'Inputs and eligible population'!$Q$102</f>
        <v>38.99</v>
      </c>
      <c r="L86" s="299">
        <f>(D86*'Inputs and eligible population'!$Q$102)/1000</f>
        <v>0</v>
      </c>
      <c r="M86" s="299">
        <f>(E86*'Inputs and eligible population'!$Q$102)/1000</f>
        <v>32.295617405699453</v>
      </c>
      <c r="N86" s="299">
        <f>(F86*'Inputs and eligible population'!$Q$102)/1000</f>
        <v>75.808623862499786</v>
      </c>
      <c r="O86" s="299">
        <f>(G86*'Inputs and eligible population'!$Q$102)/1000</f>
        <v>118.06762612820036</v>
      </c>
      <c r="P86" s="299">
        <f>(H86*'Inputs and eligible population'!$Q$102)/1000</f>
        <v>160.70050925404084</v>
      </c>
      <c r="Q86" s="299">
        <f>(I86*'Inputs and eligible population'!$Q$102)/1000</f>
        <v>167.57831906262643</v>
      </c>
      <c r="S86" s="133"/>
      <c r="T86" s="133"/>
      <c r="U86" s="133"/>
      <c r="V86" s="133"/>
      <c r="W86" s="133"/>
      <c r="X86" s="133"/>
      <c r="Y86" s="133"/>
      <c r="Z86" s="133"/>
      <c r="AJ86" s="292"/>
      <c r="AK86" s="292"/>
      <c r="AL86" s="292"/>
      <c r="AM86" s="292"/>
      <c r="AN86" s="292"/>
    </row>
    <row r="87" spans="1:40" x14ac:dyDescent="0.25">
      <c r="A87" s="293"/>
      <c r="B87" s="358" t="s">
        <v>1249</v>
      </c>
      <c r="C87" s="149">
        <f>'Inputs and eligible population'!G102</f>
        <v>30</v>
      </c>
      <c r="D87" s="128">
        <f t="shared" ref="D87:I87" si="43">((D68+D69+D71+D70)*$C$87)/60</f>
        <v>4909.7285671352129</v>
      </c>
      <c r="E87" s="128">
        <f t="shared" si="43"/>
        <v>6112.9604397760404</v>
      </c>
      <c r="F87" s="128">
        <f t="shared" si="43"/>
        <v>11971.901751371437</v>
      </c>
      <c r="G87" s="128">
        <f t="shared" si="43"/>
        <v>19869.457035912765</v>
      </c>
      <c r="H87" s="128">
        <f t="shared" si="43"/>
        <v>27686.644299853437</v>
      </c>
      <c r="I87" s="128">
        <f t="shared" si="43"/>
        <v>30796.537784510274</v>
      </c>
      <c r="J87" s="293"/>
      <c r="K87" s="747">
        <f>'Inputs and eligible population'!$Q$102</f>
        <v>38.99</v>
      </c>
      <c r="L87" s="299">
        <f>(D87*'Inputs and eligible population'!$Q$102)/1000</f>
        <v>191.43031683260196</v>
      </c>
      <c r="M87" s="299">
        <f>(E87*'Inputs and eligible population'!$Q$102)/1000</f>
        <v>238.34432754686785</v>
      </c>
      <c r="N87" s="299">
        <f>(F87*'Inputs and eligible population'!$Q$102)/1000</f>
        <v>466.78444928597236</v>
      </c>
      <c r="O87" s="299">
        <f>(G87*'Inputs and eligible population'!$Q$102)/1000</f>
        <v>774.71012983023877</v>
      </c>
      <c r="P87" s="299">
        <f>(H87*'Inputs and eligible population'!$Q$102)/1000</f>
        <v>1079.5022612512855</v>
      </c>
      <c r="Q87" s="299">
        <f>(I87*'Inputs and eligible population'!$Q$102)/1000</f>
        <v>1200.7570082180555</v>
      </c>
      <c r="S87" s="133"/>
      <c r="T87" s="133"/>
      <c r="U87" s="133"/>
      <c r="V87" s="133"/>
      <c r="W87" s="133"/>
      <c r="X87" s="133"/>
      <c r="Y87" s="133"/>
      <c r="Z87" s="133"/>
      <c r="AJ87" s="292"/>
      <c r="AK87" s="292"/>
      <c r="AL87" s="292"/>
      <c r="AM87" s="292"/>
      <c r="AN87" s="292"/>
    </row>
    <row r="88" spans="1:40" x14ac:dyDescent="0.25">
      <c r="A88" s="293"/>
      <c r="B88" s="358" t="s">
        <v>1248</v>
      </c>
      <c r="C88" s="149">
        <f>'Inputs and eligible population'!H102</f>
        <v>0</v>
      </c>
      <c r="D88" s="128">
        <f t="shared" ref="D88:I88" si="44">(D72*$C$88)/60</f>
        <v>0</v>
      </c>
      <c r="E88" s="128">
        <f t="shared" si="44"/>
        <v>0</v>
      </c>
      <c r="F88" s="128">
        <f t="shared" si="44"/>
        <v>0</v>
      </c>
      <c r="G88" s="128">
        <f t="shared" si="44"/>
        <v>0</v>
      </c>
      <c r="H88" s="128">
        <f t="shared" si="44"/>
        <v>0</v>
      </c>
      <c r="I88" s="128">
        <f t="shared" si="44"/>
        <v>0</v>
      </c>
      <c r="J88" s="293"/>
      <c r="K88" s="747">
        <f>'Inputs and eligible population'!$Q$102</f>
        <v>38.99</v>
      </c>
      <c r="L88" s="299">
        <f>(D88*'Inputs and eligible population'!$Q$102)/1000</f>
        <v>0</v>
      </c>
      <c r="M88" s="299">
        <f>(E88*'Inputs and eligible population'!$Q$102)/1000</f>
        <v>0</v>
      </c>
      <c r="N88" s="299">
        <f>(F88*'Inputs and eligible population'!$Q$102)/1000</f>
        <v>0</v>
      </c>
      <c r="O88" s="299">
        <f>(G88*'Inputs and eligible population'!$Q$102)/1000</f>
        <v>0</v>
      </c>
      <c r="P88" s="299">
        <f>(H88*'Inputs and eligible population'!$Q$102)/1000</f>
        <v>0</v>
      </c>
      <c r="Q88" s="299">
        <f>(I88*'Inputs and eligible population'!$Q$102)/1000</f>
        <v>0</v>
      </c>
      <c r="S88" s="133"/>
      <c r="T88" s="133"/>
      <c r="U88" s="133"/>
      <c r="V88" s="133"/>
      <c r="W88" s="133"/>
      <c r="X88" s="133"/>
      <c r="Y88" s="133"/>
      <c r="Z88" s="133"/>
      <c r="AJ88" s="292"/>
      <c r="AK88" s="292"/>
      <c r="AL88" s="292"/>
      <c r="AM88" s="292"/>
      <c r="AN88" s="292"/>
    </row>
    <row r="89" spans="1:40" x14ac:dyDescent="0.25">
      <c r="A89" s="293"/>
      <c r="B89" s="358" t="s">
        <v>1259</v>
      </c>
      <c r="C89" s="149">
        <f>'Inputs and eligible population'!I102</f>
        <v>30</v>
      </c>
      <c r="D89" s="128">
        <f t="shared" ref="D89:I89" si="45">((D73+D74+D76)*$C$89)/60</f>
        <v>16286.167837111438</v>
      </c>
      <c r="E89" s="128">
        <f t="shared" si="45"/>
        <v>15613.184730405463</v>
      </c>
      <c r="F89" s="128">
        <f t="shared" si="45"/>
        <v>14060.278677134669</v>
      </c>
      <c r="G89" s="128">
        <f t="shared" si="45"/>
        <v>12432.286725992946</v>
      </c>
      <c r="H89" s="128">
        <f t="shared" si="45"/>
        <v>10771.594098869211</v>
      </c>
      <c r="I89" s="128">
        <f t="shared" si="45"/>
        <v>10786.381088111384</v>
      </c>
      <c r="J89" s="293"/>
      <c r="K89" s="747">
        <f>'Inputs and eligible population'!$Q$102</f>
        <v>38.99</v>
      </c>
      <c r="L89" s="299">
        <f>(D89*'Inputs and eligible population'!$Q$102)/1000</f>
        <v>634.99768396897502</v>
      </c>
      <c r="M89" s="299">
        <f>(E89*'Inputs and eligible population'!$Q$102)/1000</f>
        <v>608.75807263850902</v>
      </c>
      <c r="N89" s="299">
        <f>(F89*'Inputs and eligible population'!$Q$102)/1000</f>
        <v>548.21026562148074</v>
      </c>
      <c r="O89" s="299">
        <f>(G89*'Inputs and eligible population'!$Q$102)/1000</f>
        <v>484.73485944646495</v>
      </c>
      <c r="P89" s="299">
        <f>(H89*'Inputs and eligible population'!$Q$102)/1000</f>
        <v>419.98445391491055</v>
      </c>
      <c r="Q89" s="299">
        <f>(I89*'Inputs and eligible population'!$Q$102)/1000</f>
        <v>420.5609986254629</v>
      </c>
      <c r="S89" s="133"/>
      <c r="T89" s="133"/>
      <c r="U89" s="133"/>
      <c r="V89" s="133"/>
      <c r="W89" s="133"/>
      <c r="X89" s="133"/>
      <c r="Y89" s="133"/>
      <c r="Z89" s="133"/>
      <c r="AJ89" s="292"/>
      <c r="AK89" s="292"/>
      <c r="AL89" s="292"/>
      <c r="AM89" s="292"/>
      <c r="AN89" s="292"/>
    </row>
    <row r="90" spans="1:40" x14ac:dyDescent="0.25">
      <c r="A90" s="293"/>
      <c r="B90" s="358" t="s">
        <v>1250</v>
      </c>
      <c r="C90" s="149">
        <f>'Inputs and eligible population'!J102</f>
        <v>10</v>
      </c>
      <c r="D90" s="128">
        <f t="shared" ref="D90:I90" si="46">((D78+D77+D79)*$C$90)/60</f>
        <v>13553.948890753929</v>
      </c>
      <c r="E90" s="128">
        <f t="shared" si="46"/>
        <v>12798.870138256179</v>
      </c>
      <c r="F90" s="128">
        <f t="shared" si="46"/>
        <v>10974.696305960349</v>
      </c>
      <c r="G90" s="128">
        <f t="shared" si="46"/>
        <v>9095.9924133882869</v>
      </c>
      <c r="H90" s="128">
        <f t="shared" si="46"/>
        <v>7227.8259202559884</v>
      </c>
      <c r="I90" s="128">
        <f t="shared" si="46"/>
        <v>6911.5424218941225</v>
      </c>
      <c r="J90" s="293"/>
      <c r="K90" s="747">
        <f>'Inputs and eligible population'!$Q$102</f>
        <v>38.99</v>
      </c>
      <c r="L90" s="299">
        <f>(D90*'Inputs and eligible population'!$Q$102)/1000</f>
        <v>528.46846725049568</v>
      </c>
      <c r="M90" s="299">
        <f>(E90*'Inputs and eligible population'!$Q$102)/1000</f>
        <v>499.02794669060847</v>
      </c>
      <c r="N90" s="299">
        <f>(F90*'Inputs and eligible population'!$Q$102)/1000</f>
        <v>427.90340896939404</v>
      </c>
      <c r="O90" s="299">
        <f>(G90*'Inputs and eligible population'!$Q$102)/1000</f>
        <v>354.65274419800932</v>
      </c>
      <c r="P90" s="299">
        <f>(H90*'Inputs and eligible population'!$Q$102)/1000</f>
        <v>281.81293263078101</v>
      </c>
      <c r="Q90" s="299">
        <f>(I90*'Inputs and eligible population'!$Q$102)/1000</f>
        <v>269.48103902965187</v>
      </c>
      <c r="S90" s="133"/>
      <c r="T90" s="133"/>
      <c r="U90" s="133"/>
      <c r="V90" s="133"/>
      <c r="W90" s="133"/>
      <c r="X90" s="133"/>
      <c r="Y90" s="133"/>
      <c r="Z90" s="133"/>
      <c r="AJ90" s="292"/>
      <c r="AK90" s="292"/>
      <c r="AL90" s="292"/>
      <c r="AM90" s="292"/>
      <c r="AN90" s="292"/>
    </row>
    <row r="91" spans="1:40" x14ac:dyDescent="0.25">
      <c r="A91" s="293"/>
      <c r="B91" s="289" t="s">
        <v>760</v>
      </c>
      <c r="C91" s="329"/>
      <c r="D91" s="187">
        <f>SUM(D86:D90)</f>
        <v>34749.845295000581</v>
      </c>
      <c r="E91" s="187">
        <f t="shared" ref="E91:H91" si="47">SUM(E86:E90)</f>
        <v>35353.320448363287</v>
      </c>
      <c r="F91" s="187">
        <f t="shared" si="47"/>
        <v>38951.186143609819</v>
      </c>
      <c r="G91" s="187">
        <f t="shared" si="47"/>
        <v>44425.887653319143</v>
      </c>
      <c r="H91" s="187">
        <f t="shared" si="47"/>
        <v>49807.647013362854</v>
      </c>
      <c r="I91" s="187">
        <f>SUM(I86:I90)</f>
        <v>52792.443317153025</v>
      </c>
      <c r="J91" s="293"/>
      <c r="K91" s="293"/>
      <c r="L91" s="300">
        <f>SUM(L86:L90)</f>
        <v>1354.8964680520726</v>
      </c>
      <c r="M91" s="300">
        <f t="shared" ref="M91:Q91" si="48">SUM(M86:M90)</f>
        <v>1378.4259642816846</v>
      </c>
      <c r="N91" s="300">
        <f t="shared" si="48"/>
        <v>1518.7067477393471</v>
      </c>
      <c r="O91" s="300">
        <f t="shared" si="48"/>
        <v>1732.1653596029132</v>
      </c>
      <c r="P91" s="300">
        <f t="shared" si="48"/>
        <v>1942.0001570510178</v>
      </c>
      <c r="Q91" s="300">
        <f t="shared" si="48"/>
        <v>2058.3773649357968</v>
      </c>
      <c r="S91" s="133"/>
      <c r="T91" s="133"/>
      <c r="U91" s="133"/>
      <c r="V91" s="133"/>
      <c r="W91" s="133"/>
      <c r="X91" s="133"/>
      <c r="Y91" s="133"/>
      <c r="Z91" s="133"/>
      <c r="AJ91" s="292"/>
      <c r="AK91" s="292"/>
      <c r="AL91" s="292"/>
      <c r="AM91" s="292"/>
      <c r="AN91" s="292"/>
    </row>
    <row r="92" spans="1:40" x14ac:dyDescent="0.25">
      <c r="A92" s="293"/>
      <c r="B92" s="312"/>
      <c r="C92" s="262"/>
      <c r="D92" s="291" t="s">
        <v>761</v>
      </c>
      <c r="E92" s="187">
        <f>E91-$D$91</f>
        <v>603.4751533627059</v>
      </c>
      <c r="F92" s="187">
        <f>F91-$D$91</f>
        <v>4201.3408486092376</v>
      </c>
      <c r="G92" s="187">
        <f>G91-$D$91</f>
        <v>9676.042358318562</v>
      </c>
      <c r="H92" s="187">
        <f>H91-$D$91</f>
        <v>15057.801718362272</v>
      </c>
      <c r="I92" s="187">
        <f>I91-$D$91</f>
        <v>18042.598022152444</v>
      </c>
      <c r="J92" s="293"/>
      <c r="K92" s="293"/>
      <c r="L92" s="589"/>
      <c r="M92" s="300">
        <f>M91-$L$91</f>
        <v>23.52949622961205</v>
      </c>
      <c r="N92" s="300">
        <f>N91-$L$91</f>
        <v>163.81027968727449</v>
      </c>
      <c r="O92" s="300">
        <f>O91-$L$91</f>
        <v>377.26889155084064</v>
      </c>
      <c r="P92" s="300">
        <f>P91-$L$91</f>
        <v>587.10368899894524</v>
      </c>
      <c r="Q92" s="300">
        <f>Q91-$L$91</f>
        <v>703.4808968837242</v>
      </c>
      <c r="S92" s="133"/>
      <c r="T92" s="133"/>
      <c r="U92" s="133"/>
      <c r="V92" s="133"/>
      <c r="W92" s="133"/>
      <c r="X92" s="133"/>
      <c r="Y92" s="133"/>
      <c r="Z92" s="133"/>
      <c r="AJ92" s="292"/>
      <c r="AK92" s="292"/>
      <c r="AL92" s="292"/>
      <c r="AM92" s="292"/>
      <c r="AN92" s="292"/>
    </row>
    <row r="93" spans="1:40" x14ac:dyDescent="0.25">
      <c r="A93" s="293"/>
      <c r="B93" s="331"/>
      <c r="C93" s="219"/>
      <c r="D93" s="219"/>
      <c r="E93" s="219"/>
      <c r="F93" s="219"/>
      <c r="G93" s="219"/>
      <c r="H93" s="219"/>
      <c r="I93" s="219"/>
      <c r="J93" s="219"/>
      <c r="K93" s="219"/>
      <c r="L93" s="219"/>
      <c r="M93" s="219"/>
      <c r="N93" s="219"/>
      <c r="O93" s="219"/>
      <c r="P93" s="219"/>
      <c r="Q93" s="219"/>
      <c r="S93" s="133"/>
      <c r="T93" s="133"/>
      <c r="U93" s="133"/>
      <c r="V93" s="133"/>
      <c r="W93" s="133"/>
      <c r="X93" s="133"/>
      <c r="Y93" s="133"/>
      <c r="Z93" s="133"/>
      <c r="AJ93" s="292"/>
      <c r="AK93" s="292"/>
      <c r="AL93" s="292"/>
      <c r="AM93" s="292"/>
      <c r="AN93" s="292"/>
    </row>
    <row r="94" spans="1:40" x14ac:dyDescent="0.25">
      <c r="A94" s="293"/>
      <c r="B94" s="402" t="s">
        <v>762</v>
      </c>
      <c r="C94" s="401"/>
      <c r="D94" s="401"/>
      <c r="E94" s="401"/>
      <c r="F94" s="401"/>
      <c r="G94" s="401"/>
      <c r="H94" s="401"/>
      <c r="I94" s="218"/>
      <c r="J94" s="442"/>
      <c r="K94" s="219"/>
      <c r="L94" s="441"/>
      <c r="M94" s="441"/>
      <c r="N94" s="441"/>
      <c r="O94" s="441"/>
      <c r="P94" s="441"/>
      <c r="Q94" s="441"/>
      <c r="S94" s="133"/>
      <c r="T94" s="133"/>
      <c r="U94" s="133"/>
      <c r="V94" s="133"/>
      <c r="W94" s="133"/>
      <c r="X94" s="133"/>
      <c r="Y94" s="133"/>
      <c r="Z94" s="133"/>
      <c r="AJ94" s="292"/>
      <c r="AK94" s="292"/>
      <c r="AL94" s="292"/>
      <c r="AM94" s="292"/>
      <c r="AN94" s="292"/>
    </row>
    <row r="95" spans="1:40" ht="75" x14ac:dyDescent="0.25">
      <c r="A95" s="293"/>
      <c r="B95" s="288" t="s">
        <v>131</v>
      </c>
      <c r="C95" s="166" t="s">
        <v>89</v>
      </c>
      <c r="D95" s="434" t="s">
        <v>743</v>
      </c>
      <c r="E95" s="261" t="s">
        <v>51</v>
      </c>
      <c r="F95" s="261" t="s">
        <v>52</v>
      </c>
      <c r="G95" s="165" t="s">
        <v>744</v>
      </c>
      <c r="H95" s="165" t="s">
        <v>745</v>
      </c>
      <c r="I95" s="261" t="s">
        <v>746</v>
      </c>
      <c r="J95" s="293"/>
      <c r="K95" s="746" t="s">
        <v>1252</v>
      </c>
      <c r="L95" s="434" t="s">
        <v>743</v>
      </c>
      <c r="M95" s="261" t="s">
        <v>51</v>
      </c>
      <c r="N95" s="261" t="s">
        <v>52</v>
      </c>
      <c r="O95" s="165" t="s">
        <v>744</v>
      </c>
      <c r="P95" s="165" t="s">
        <v>745</v>
      </c>
      <c r="Q95" s="261" t="s">
        <v>746</v>
      </c>
      <c r="S95" s="133"/>
      <c r="T95" s="133"/>
      <c r="U95" s="133"/>
      <c r="V95" s="133"/>
      <c r="W95" s="133"/>
      <c r="X95" s="133"/>
      <c r="Y95" s="133"/>
      <c r="Z95" s="133"/>
      <c r="AJ95" s="292"/>
      <c r="AK95" s="292"/>
      <c r="AL95" s="292"/>
      <c r="AM95" s="292"/>
      <c r="AN95" s="292"/>
    </row>
    <row r="96" spans="1:40" x14ac:dyDescent="0.25">
      <c r="A96" s="293"/>
      <c r="B96" s="358" t="s">
        <v>1247</v>
      </c>
      <c r="C96" s="149">
        <f>'Inputs and eligible population'!F103</f>
        <v>15</v>
      </c>
      <c r="D96" s="128">
        <f t="shared" ref="D96:I96" si="49">((D64+D65+D66+D67)*$C$96)/60</f>
        <v>0</v>
      </c>
      <c r="E96" s="128">
        <f t="shared" si="49"/>
        <v>1242.4577098884117</v>
      </c>
      <c r="F96" s="128">
        <f t="shared" si="49"/>
        <v>2916.4641137150475</v>
      </c>
      <c r="G96" s="128">
        <f t="shared" si="49"/>
        <v>4542.2272170377155</v>
      </c>
      <c r="H96" s="128">
        <f t="shared" si="49"/>
        <v>6182.3740415763332</v>
      </c>
      <c r="I96" s="128">
        <f t="shared" si="49"/>
        <v>6446.9730339558764</v>
      </c>
      <c r="J96" s="293"/>
      <c r="K96" s="747">
        <f>'Inputs and eligible population'!$Q$103</f>
        <v>38.99</v>
      </c>
      <c r="L96" s="299">
        <f>(D96*'Inputs and eligible population'!$Q$103)/1000</f>
        <v>0</v>
      </c>
      <c r="M96" s="299">
        <f>(E96*'Inputs and eligible population'!$Q$103)/1000</f>
        <v>48.443426108549176</v>
      </c>
      <c r="N96" s="299">
        <f>(F96*'Inputs and eligible population'!$Q$103)/1000</f>
        <v>113.71293579374971</v>
      </c>
      <c r="O96" s="299">
        <f>(G96*'Inputs and eligible population'!$Q$103)/1000</f>
        <v>177.10143919230055</v>
      </c>
      <c r="P96" s="299">
        <f>(H96*'Inputs and eligible population'!$Q$103)/1000</f>
        <v>241.05076388106124</v>
      </c>
      <c r="Q96" s="299">
        <f>(I96*'Inputs and eligible population'!$Q$103)/1000</f>
        <v>251.36747859393964</v>
      </c>
      <c r="S96" s="133"/>
      <c r="T96" s="133"/>
      <c r="U96" s="133"/>
      <c r="V96" s="133"/>
      <c r="W96" s="133"/>
      <c r="X96" s="133"/>
      <c r="Y96" s="133"/>
      <c r="Z96" s="133"/>
      <c r="AJ96" s="292"/>
      <c r="AK96" s="292"/>
      <c r="AL96" s="292"/>
      <c r="AM96" s="292"/>
      <c r="AN96" s="292"/>
    </row>
    <row r="97" spans="1:40" x14ac:dyDescent="0.25">
      <c r="A97" s="293"/>
      <c r="B97" s="358" t="s">
        <v>1249</v>
      </c>
      <c r="C97" s="149">
        <f>'Inputs and eligible population'!G103</f>
        <v>30</v>
      </c>
      <c r="D97" s="128">
        <f>((D68+D69+D71+D70)*$C$97)/60</f>
        <v>4909.7285671352129</v>
      </c>
      <c r="E97" s="128">
        <f t="shared" ref="E97:I97" si="50">((E68+E69+E71+E70)*$C$97)/60</f>
        <v>6112.9604397760404</v>
      </c>
      <c r="F97" s="128">
        <f t="shared" si="50"/>
        <v>11971.901751371437</v>
      </c>
      <c r="G97" s="128">
        <f t="shared" si="50"/>
        <v>19869.457035912765</v>
      </c>
      <c r="H97" s="128">
        <f t="shared" si="50"/>
        <v>27686.644299853437</v>
      </c>
      <c r="I97" s="128">
        <f t="shared" si="50"/>
        <v>30796.537784510274</v>
      </c>
      <c r="J97" s="293"/>
      <c r="K97" s="747">
        <f>'Inputs and eligible population'!$Q$103</f>
        <v>38.99</v>
      </c>
      <c r="L97" s="299">
        <f>(D97*'Inputs and eligible population'!$Q$103)/1000</f>
        <v>191.43031683260196</v>
      </c>
      <c r="M97" s="299">
        <f>(E97*'Inputs and eligible population'!$Q$103)/1000</f>
        <v>238.34432754686785</v>
      </c>
      <c r="N97" s="299">
        <f>(F97*'Inputs and eligible population'!$Q$103)/1000</f>
        <v>466.78444928597236</v>
      </c>
      <c r="O97" s="299">
        <f>(G97*'Inputs and eligible population'!$Q$103)/1000</f>
        <v>774.71012983023877</v>
      </c>
      <c r="P97" s="299">
        <f>(H97*'Inputs and eligible population'!$Q$103)/1000</f>
        <v>1079.5022612512855</v>
      </c>
      <c r="Q97" s="299">
        <f>(I97*'Inputs and eligible population'!$Q$103)/1000</f>
        <v>1200.7570082180555</v>
      </c>
      <c r="S97" s="133"/>
      <c r="T97" s="133"/>
      <c r="U97" s="133"/>
      <c r="V97" s="133"/>
      <c r="W97" s="133"/>
      <c r="X97" s="133"/>
      <c r="Y97" s="133"/>
      <c r="Z97" s="133"/>
      <c r="AJ97" s="292"/>
      <c r="AK97" s="292"/>
      <c r="AL97" s="292"/>
      <c r="AM97" s="292"/>
      <c r="AN97" s="292"/>
    </row>
    <row r="98" spans="1:40" x14ac:dyDescent="0.25">
      <c r="A98" s="293"/>
      <c r="B98" s="358" t="s">
        <v>1248</v>
      </c>
      <c r="C98" s="149">
        <f>'Inputs and eligible population'!H103</f>
        <v>0</v>
      </c>
      <c r="D98" s="128">
        <f t="shared" ref="D98:I98" si="51">(D72*$C$98)/60</f>
        <v>0</v>
      </c>
      <c r="E98" s="128">
        <f t="shared" si="51"/>
        <v>0</v>
      </c>
      <c r="F98" s="128">
        <f t="shared" si="51"/>
        <v>0</v>
      </c>
      <c r="G98" s="128">
        <f t="shared" si="51"/>
        <v>0</v>
      </c>
      <c r="H98" s="128">
        <f t="shared" si="51"/>
        <v>0</v>
      </c>
      <c r="I98" s="128">
        <f t="shared" si="51"/>
        <v>0</v>
      </c>
      <c r="J98" s="293"/>
      <c r="K98" s="747">
        <f>'Inputs and eligible population'!$Q$103</f>
        <v>38.99</v>
      </c>
      <c r="L98" s="299">
        <f>(D98*'Inputs and eligible population'!$Q$103)/1000</f>
        <v>0</v>
      </c>
      <c r="M98" s="299">
        <f>(E98*'Inputs and eligible population'!$Q$103)/1000</f>
        <v>0</v>
      </c>
      <c r="N98" s="299">
        <f>(F98*'Inputs and eligible population'!$Q$103)/1000</f>
        <v>0</v>
      </c>
      <c r="O98" s="299">
        <f>(G98*'Inputs and eligible population'!$Q$103)/1000</f>
        <v>0</v>
      </c>
      <c r="P98" s="299">
        <f>(H98*'Inputs and eligible population'!$Q$103)/1000</f>
        <v>0</v>
      </c>
      <c r="Q98" s="299">
        <f>(I98*'Inputs and eligible population'!$Q$103)/1000</f>
        <v>0</v>
      </c>
      <c r="S98" s="133"/>
      <c r="T98" s="133"/>
      <c r="U98" s="133"/>
      <c r="V98" s="133"/>
      <c r="W98" s="133"/>
      <c r="X98" s="133"/>
      <c r="Y98" s="133"/>
      <c r="Z98" s="133"/>
      <c r="AJ98" s="292"/>
      <c r="AK98" s="292"/>
      <c r="AL98" s="292"/>
      <c r="AM98" s="292"/>
      <c r="AN98" s="292"/>
    </row>
    <row r="99" spans="1:40" x14ac:dyDescent="0.25">
      <c r="A99" s="293"/>
      <c r="B99" s="358" t="s">
        <v>1259</v>
      </c>
      <c r="C99" s="149">
        <f>'Inputs and eligible population'!I103</f>
        <v>30</v>
      </c>
      <c r="D99" s="128">
        <f t="shared" ref="D99:I99" si="52">((D73+D74+D76)*$C$99)/60</f>
        <v>16286.167837111438</v>
      </c>
      <c r="E99" s="128">
        <f t="shared" si="52"/>
        <v>15613.184730405463</v>
      </c>
      <c r="F99" s="128">
        <f t="shared" si="52"/>
        <v>14060.278677134669</v>
      </c>
      <c r="G99" s="128">
        <f t="shared" si="52"/>
        <v>12432.286725992946</v>
      </c>
      <c r="H99" s="128">
        <f t="shared" si="52"/>
        <v>10771.594098869211</v>
      </c>
      <c r="I99" s="128">
        <f t="shared" si="52"/>
        <v>10786.381088111384</v>
      </c>
      <c r="J99" s="293"/>
      <c r="K99" s="747">
        <f>'Inputs and eligible population'!$Q$103</f>
        <v>38.99</v>
      </c>
      <c r="L99" s="299">
        <f>(D99*'Inputs and eligible population'!$Q$103)/1000</f>
        <v>634.99768396897502</v>
      </c>
      <c r="M99" s="299">
        <f>(E99*'Inputs and eligible population'!$Q$103)/1000</f>
        <v>608.75807263850902</v>
      </c>
      <c r="N99" s="299">
        <f>(F99*'Inputs and eligible population'!$Q$103)/1000</f>
        <v>548.21026562148074</v>
      </c>
      <c r="O99" s="299">
        <f>(G99*'Inputs and eligible population'!$Q$103)/1000</f>
        <v>484.73485944646495</v>
      </c>
      <c r="P99" s="299">
        <f>(H99*'Inputs and eligible population'!$Q$103)/1000</f>
        <v>419.98445391491055</v>
      </c>
      <c r="Q99" s="299">
        <f>(I99*'Inputs and eligible population'!$Q$103)/1000</f>
        <v>420.5609986254629</v>
      </c>
      <c r="S99" s="133"/>
      <c r="T99" s="133"/>
      <c r="U99" s="133"/>
      <c r="V99" s="133"/>
      <c r="W99" s="133"/>
      <c r="X99" s="133"/>
      <c r="Y99" s="133"/>
      <c r="Z99" s="133"/>
      <c r="AJ99" s="292"/>
      <c r="AK99" s="292"/>
      <c r="AL99" s="292"/>
      <c r="AM99" s="292"/>
      <c r="AN99" s="292"/>
    </row>
    <row r="100" spans="1:40" x14ac:dyDescent="0.25">
      <c r="A100" s="293"/>
      <c r="B100" s="358" t="s">
        <v>1250</v>
      </c>
      <c r="C100" s="149">
        <f>'Inputs and eligible population'!J103</f>
        <v>15</v>
      </c>
      <c r="D100" s="128">
        <f t="shared" ref="D100:I100" si="53">((D78+D77+D79)*$C$100)/60</f>
        <v>20330.923336130894</v>
      </c>
      <c r="E100" s="128">
        <f t="shared" si="53"/>
        <v>19198.30520738427</v>
      </c>
      <c r="F100" s="128">
        <f t="shared" si="53"/>
        <v>16462.044458940523</v>
      </c>
      <c r="G100" s="128">
        <f t="shared" si="53"/>
        <v>13643.988620082431</v>
      </c>
      <c r="H100" s="128">
        <f t="shared" si="53"/>
        <v>10841.738880383982</v>
      </c>
      <c r="I100" s="128">
        <f t="shared" si="53"/>
        <v>10367.313632841184</v>
      </c>
      <c r="J100" s="293"/>
      <c r="K100" s="747">
        <f>'Inputs and eligible population'!$Q$103</f>
        <v>38.99</v>
      </c>
      <c r="L100" s="299">
        <f>(D100*'Inputs and eligible population'!$Q$103)/1000</f>
        <v>792.70270087574363</v>
      </c>
      <c r="M100" s="299">
        <f>(E100*'Inputs and eligible population'!$Q$103)/1000</f>
        <v>748.54192003591277</v>
      </c>
      <c r="N100" s="299">
        <f>(F100*'Inputs and eligible population'!$Q$103)/1000</f>
        <v>641.855113454091</v>
      </c>
      <c r="O100" s="299">
        <f>(G100*'Inputs and eligible population'!$Q$103)/1000</f>
        <v>531.979116297014</v>
      </c>
      <c r="P100" s="299">
        <f>(H100*'Inputs and eligible population'!$Q$103)/1000</f>
        <v>422.71939894617151</v>
      </c>
      <c r="Q100" s="299">
        <f>(I100*'Inputs and eligible population'!$Q$103)/1000</f>
        <v>404.22155854447777</v>
      </c>
      <c r="S100" s="133"/>
      <c r="T100" s="133"/>
      <c r="U100" s="133"/>
      <c r="V100" s="133"/>
      <c r="W100" s="133"/>
      <c r="X100" s="133"/>
      <c r="Y100" s="133"/>
      <c r="Z100" s="133"/>
      <c r="AJ100" s="292"/>
      <c r="AK100" s="292"/>
      <c r="AL100" s="292"/>
      <c r="AM100" s="292"/>
      <c r="AN100" s="292"/>
    </row>
    <row r="101" spans="1:40" x14ac:dyDescent="0.25">
      <c r="A101" s="293"/>
      <c r="B101" s="289"/>
      <c r="C101" s="289"/>
      <c r="D101" s="187">
        <f>SUM(D96:D100)</f>
        <v>41526.819740377541</v>
      </c>
      <c r="E101" s="187">
        <f t="shared" ref="E101:I101" si="54">SUM(E96:E100)</f>
        <v>42166.908087454183</v>
      </c>
      <c r="F101" s="187">
        <f t="shared" si="54"/>
        <v>45410.689001161678</v>
      </c>
      <c r="G101" s="187">
        <f t="shared" si="54"/>
        <v>50487.95959902586</v>
      </c>
      <c r="H101" s="187">
        <f t="shared" si="54"/>
        <v>55482.351320682967</v>
      </c>
      <c r="I101" s="187">
        <f t="shared" si="54"/>
        <v>58397.205539418719</v>
      </c>
      <c r="J101" s="293"/>
      <c r="K101" s="293"/>
      <c r="L101" s="300">
        <f>SUM(L96:L100)</f>
        <v>1619.1307016773208</v>
      </c>
      <c r="M101" s="300">
        <f t="shared" ref="M101:Q101" si="55">SUM(M96:M100)</f>
        <v>1644.0877463298389</v>
      </c>
      <c r="N101" s="300">
        <f t="shared" si="55"/>
        <v>1770.562764155294</v>
      </c>
      <c r="O101" s="300">
        <f t="shared" si="55"/>
        <v>1968.5255447660184</v>
      </c>
      <c r="P101" s="300">
        <f t="shared" si="55"/>
        <v>2163.2568779934286</v>
      </c>
      <c r="Q101" s="300">
        <f t="shared" si="55"/>
        <v>2276.9070439819357</v>
      </c>
      <c r="S101" s="133"/>
      <c r="T101" s="133"/>
      <c r="U101" s="133"/>
      <c r="V101" s="133"/>
      <c r="W101" s="133"/>
      <c r="X101" s="133"/>
      <c r="Y101" s="133"/>
      <c r="Z101" s="133"/>
      <c r="AJ101" s="292"/>
      <c r="AK101" s="292"/>
      <c r="AL101" s="292"/>
      <c r="AM101" s="292"/>
      <c r="AN101" s="292"/>
    </row>
    <row r="102" spans="1:40" x14ac:dyDescent="0.25">
      <c r="A102" s="293"/>
      <c r="B102" s="289"/>
      <c r="C102" s="289"/>
      <c r="D102" s="291" t="s">
        <v>763</v>
      </c>
      <c r="E102" s="187">
        <f>E101-$D$101</f>
        <v>640.08834707664209</v>
      </c>
      <c r="F102" s="187">
        <f>F101-$D$101</f>
        <v>3883.8692607841367</v>
      </c>
      <c r="G102" s="187">
        <f>G101-$D$101</f>
        <v>8961.1398586483192</v>
      </c>
      <c r="H102" s="187">
        <f>H101-$D$101</f>
        <v>13955.531580305425</v>
      </c>
      <c r="I102" s="187">
        <f>I101-$D$101</f>
        <v>16870.385799041178</v>
      </c>
      <c r="J102" s="293"/>
      <c r="K102" s="293"/>
      <c r="L102" s="589"/>
      <c r="M102" s="300">
        <f>M101-$L$101</f>
        <v>24.957044652518107</v>
      </c>
      <c r="N102" s="300">
        <f>N101-$L$101</f>
        <v>151.4320624779732</v>
      </c>
      <c r="O102" s="300">
        <f>O101-$L$101</f>
        <v>349.3948430886976</v>
      </c>
      <c r="P102" s="300">
        <f>P101-$L$101</f>
        <v>544.12617631610783</v>
      </c>
      <c r="Q102" s="300">
        <f>Q101-$L$101</f>
        <v>657.7763423046149</v>
      </c>
      <c r="S102" s="133"/>
      <c r="T102" s="133"/>
      <c r="U102" s="133"/>
      <c r="V102" s="133"/>
      <c r="W102" s="133"/>
      <c r="X102" s="133"/>
      <c r="Y102" s="133"/>
      <c r="Z102" s="133"/>
      <c r="AJ102" s="292"/>
      <c r="AK102" s="292"/>
      <c r="AL102" s="292"/>
      <c r="AM102" s="292"/>
      <c r="AN102" s="292"/>
    </row>
    <row r="103" spans="1:40" x14ac:dyDescent="0.25">
      <c r="A103" s="293"/>
      <c r="B103" s="331"/>
      <c r="C103" s="219"/>
      <c r="D103" s="219"/>
      <c r="E103" s="219"/>
      <c r="F103" s="219"/>
      <c r="G103" s="219"/>
      <c r="H103" s="219"/>
      <c r="I103" s="219"/>
      <c r="J103" s="219"/>
      <c r="K103" s="219"/>
      <c r="L103" s="219"/>
      <c r="M103" s="219"/>
      <c r="N103" s="219"/>
      <c r="O103" s="219"/>
      <c r="P103" s="219"/>
      <c r="Q103" s="219"/>
      <c r="S103" s="133"/>
      <c r="T103" s="133"/>
      <c r="U103" s="133"/>
      <c r="V103" s="133"/>
      <c r="W103" s="133"/>
      <c r="X103" s="133"/>
      <c r="Y103" s="133"/>
      <c r="Z103" s="133"/>
      <c r="AJ103" s="292"/>
      <c r="AK103" s="292"/>
      <c r="AL103" s="292"/>
      <c r="AM103" s="292"/>
      <c r="AN103" s="292"/>
    </row>
    <row r="104" spans="1:40" x14ac:dyDescent="0.25">
      <c r="A104" s="293"/>
      <c r="B104" s="402" t="s">
        <v>183</v>
      </c>
      <c r="C104" s="401"/>
      <c r="D104" s="401"/>
      <c r="E104" s="401"/>
      <c r="F104" s="401"/>
      <c r="G104" s="401"/>
      <c r="H104" s="401"/>
      <c r="I104" s="218"/>
      <c r="J104" s="442"/>
      <c r="K104" s="219"/>
      <c r="L104" s="441"/>
      <c r="M104" s="441"/>
      <c r="N104" s="441"/>
      <c r="O104" s="441"/>
      <c r="P104" s="441"/>
      <c r="Q104" s="441"/>
      <c r="V104" s="133"/>
      <c r="AJ104" s="292"/>
      <c r="AK104" s="292"/>
      <c r="AL104" s="292"/>
      <c r="AM104" s="292"/>
      <c r="AN104" s="292"/>
    </row>
    <row r="105" spans="1:40" ht="60" x14ac:dyDescent="0.25">
      <c r="A105" s="293"/>
      <c r="B105" s="288" t="s">
        <v>131</v>
      </c>
      <c r="C105" s="166" t="s">
        <v>90</v>
      </c>
      <c r="D105" s="434" t="s">
        <v>743</v>
      </c>
      <c r="E105" s="261" t="s">
        <v>51</v>
      </c>
      <c r="F105" s="261" t="s">
        <v>52</v>
      </c>
      <c r="G105" s="165" t="s">
        <v>744</v>
      </c>
      <c r="H105" s="165" t="s">
        <v>745</v>
      </c>
      <c r="I105" s="261" t="s">
        <v>746</v>
      </c>
      <c r="J105" s="293"/>
      <c r="K105" s="746" t="s">
        <v>1252</v>
      </c>
      <c r="L105" s="434" t="s">
        <v>743</v>
      </c>
      <c r="M105" s="261" t="s">
        <v>51</v>
      </c>
      <c r="N105" s="261" t="s">
        <v>52</v>
      </c>
      <c r="O105" s="165" t="s">
        <v>744</v>
      </c>
      <c r="P105" s="165" t="s">
        <v>745</v>
      </c>
      <c r="Q105" s="261" t="s">
        <v>746</v>
      </c>
      <c r="V105" s="133"/>
      <c r="AJ105" s="292"/>
      <c r="AK105" s="292"/>
      <c r="AL105" s="292"/>
      <c r="AM105" s="292"/>
      <c r="AN105" s="292"/>
    </row>
    <row r="106" spans="1:40" x14ac:dyDescent="0.25">
      <c r="A106" s="293"/>
      <c r="B106" s="358" t="s">
        <v>1247</v>
      </c>
      <c r="C106" s="149">
        <f>'Inputs and eligible population'!F104</f>
        <v>15</v>
      </c>
      <c r="D106" s="128">
        <f t="shared" ref="D106:I106" si="56">((D64+D65+D66+D67)*$C$106)/60</f>
        <v>0</v>
      </c>
      <c r="E106" s="128">
        <f t="shared" si="56"/>
        <v>1242.4577098884117</v>
      </c>
      <c r="F106" s="128">
        <f t="shared" si="56"/>
        <v>2916.4641137150475</v>
      </c>
      <c r="G106" s="128">
        <f t="shared" si="56"/>
        <v>4542.2272170377155</v>
      </c>
      <c r="H106" s="128">
        <f t="shared" si="56"/>
        <v>6182.3740415763332</v>
      </c>
      <c r="I106" s="128">
        <f t="shared" si="56"/>
        <v>6446.9730339558764</v>
      </c>
      <c r="J106" s="293"/>
      <c r="K106" s="747">
        <f>'Inputs and eligible population'!$Q$104</f>
        <v>38.99</v>
      </c>
      <c r="L106" s="299">
        <f>(D106*'Inputs and eligible population'!$Q$104)/1000</f>
        <v>0</v>
      </c>
      <c r="M106" s="299">
        <f>(E106*'Inputs and eligible population'!$Q$104)/1000</f>
        <v>48.443426108549176</v>
      </c>
      <c r="N106" s="299">
        <f>(F106*'Inputs and eligible population'!$Q$104)/1000</f>
        <v>113.71293579374971</v>
      </c>
      <c r="O106" s="299">
        <f>(G106*'Inputs and eligible population'!$Q$104)/1000</f>
        <v>177.10143919230055</v>
      </c>
      <c r="P106" s="299">
        <f>(H106*'Inputs and eligible population'!$Q$104)/1000</f>
        <v>241.05076388106124</v>
      </c>
      <c r="Q106" s="299">
        <f>(I106*'Inputs and eligible population'!$Q$104)/1000</f>
        <v>251.36747859393964</v>
      </c>
      <c r="V106" s="133"/>
      <c r="AJ106" s="292"/>
      <c r="AK106" s="292"/>
      <c r="AL106" s="292"/>
      <c r="AM106" s="292"/>
      <c r="AN106" s="292"/>
    </row>
    <row r="107" spans="1:40" x14ac:dyDescent="0.25">
      <c r="A107" s="293"/>
      <c r="B107" s="358" t="s">
        <v>1249</v>
      </c>
      <c r="C107" s="149">
        <f>'Inputs and eligible population'!G104</f>
        <v>30</v>
      </c>
      <c r="D107" s="128">
        <f t="shared" ref="D107:I107" si="57">((D68+D69+D71+D70)*$C$107)/60</f>
        <v>4909.7285671352129</v>
      </c>
      <c r="E107" s="128">
        <f t="shared" si="57"/>
        <v>6112.9604397760404</v>
      </c>
      <c r="F107" s="128">
        <f t="shared" si="57"/>
        <v>11971.901751371437</v>
      </c>
      <c r="G107" s="128">
        <f t="shared" si="57"/>
        <v>19869.457035912765</v>
      </c>
      <c r="H107" s="128">
        <f t="shared" si="57"/>
        <v>27686.644299853437</v>
      </c>
      <c r="I107" s="128">
        <f t="shared" si="57"/>
        <v>30796.537784510274</v>
      </c>
      <c r="J107" s="293"/>
      <c r="K107" s="747">
        <f>'Inputs and eligible population'!$Q$104</f>
        <v>38.99</v>
      </c>
      <c r="L107" s="299">
        <f>(D107*'Inputs and eligible population'!$Q$104)/1000</f>
        <v>191.43031683260196</v>
      </c>
      <c r="M107" s="299">
        <f>(E107*'Inputs and eligible population'!$Q$104)/1000</f>
        <v>238.34432754686785</v>
      </c>
      <c r="N107" s="299">
        <f>(F107*'Inputs and eligible population'!$Q$104)/1000</f>
        <v>466.78444928597236</v>
      </c>
      <c r="O107" s="299">
        <f>(G107*'Inputs and eligible population'!$Q$104)/1000</f>
        <v>774.71012983023877</v>
      </c>
      <c r="P107" s="299">
        <f>(H107*'Inputs and eligible population'!$Q$104)/1000</f>
        <v>1079.5022612512855</v>
      </c>
      <c r="Q107" s="299">
        <f>(I107*'Inputs and eligible population'!$Q$104)/1000</f>
        <v>1200.7570082180555</v>
      </c>
      <c r="V107" s="133"/>
      <c r="AJ107" s="292"/>
      <c r="AK107" s="292"/>
      <c r="AL107" s="292"/>
      <c r="AM107" s="292"/>
      <c r="AN107" s="292"/>
    </row>
    <row r="108" spans="1:40" x14ac:dyDescent="0.25">
      <c r="A108" s="293"/>
      <c r="B108" s="358" t="s">
        <v>1248</v>
      </c>
      <c r="C108" s="149">
        <f>'Inputs and eligible population'!H104</f>
        <v>0</v>
      </c>
      <c r="D108" s="128">
        <f t="shared" ref="D108:I108" si="58">(D72*$C$108)/60</f>
        <v>0</v>
      </c>
      <c r="E108" s="128">
        <f t="shared" si="58"/>
        <v>0</v>
      </c>
      <c r="F108" s="128">
        <f t="shared" si="58"/>
        <v>0</v>
      </c>
      <c r="G108" s="128">
        <f t="shared" si="58"/>
        <v>0</v>
      </c>
      <c r="H108" s="128">
        <f t="shared" si="58"/>
        <v>0</v>
      </c>
      <c r="I108" s="128">
        <f t="shared" si="58"/>
        <v>0</v>
      </c>
      <c r="J108" s="293"/>
      <c r="K108" s="747">
        <f>'Inputs and eligible population'!$Q$104</f>
        <v>38.99</v>
      </c>
      <c r="L108" s="299">
        <f>(D108*'Inputs and eligible population'!$Q$104)/1000</f>
        <v>0</v>
      </c>
      <c r="M108" s="299">
        <f>(E108*'Inputs and eligible population'!$Q$104)/1000</f>
        <v>0</v>
      </c>
      <c r="N108" s="299">
        <f>(F108*'Inputs and eligible population'!$Q$104)/1000</f>
        <v>0</v>
      </c>
      <c r="O108" s="299">
        <f>(G108*'Inputs and eligible population'!$Q$104)/1000</f>
        <v>0</v>
      </c>
      <c r="P108" s="299">
        <f>(H108*'Inputs and eligible population'!$Q$104)/1000</f>
        <v>0</v>
      </c>
      <c r="Q108" s="299">
        <f>(I108*'Inputs and eligible population'!$Q$104)/1000</f>
        <v>0</v>
      </c>
      <c r="V108" s="133"/>
      <c r="AJ108" s="292"/>
      <c r="AK108" s="292"/>
      <c r="AL108" s="292"/>
      <c r="AM108" s="292"/>
      <c r="AN108" s="292"/>
    </row>
    <row r="109" spans="1:40" x14ac:dyDescent="0.25">
      <c r="A109" s="293"/>
      <c r="B109" s="358" t="s">
        <v>1259</v>
      </c>
      <c r="C109" s="149">
        <f>'Inputs and eligible population'!I104</f>
        <v>30</v>
      </c>
      <c r="D109" s="128">
        <f t="shared" ref="D109:I109" si="59">((D73+D74+D76)*$C$109)/60</f>
        <v>16286.167837111438</v>
      </c>
      <c r="E109" s="128">
        <f t="shared" si="59"/>
        <v>15613.184730405463</v>
      </c>
      <c r="F109" s="128">
        <f t="shared" si="59"/>
        <v>14060.278677134669</v>
      </c>
      <c r="G109" s="128">
        <f t="shared" si="59"/>
        <v>12432.286725992946</v>
      </c>
      <c r="H109" s="128">
        <f t="shared" si="59"/>
        <v>10771.594098869211</v>
      </c>
      <c r="I109" s="128">
        <f t="shared" si="59"/>
        <v>10786.381088111384</v>
      </c>
      <c r="J109" s="293"/>
      <c r="K109" s="747">
        <f>'Inputs and eligible population'!$Q$104</f>
        <v>38.99</v>
      </c>
      <c r="L109" s="299">
        <f>(D109*'Inputs and eligible population'!$Q$104)/1000</f>
        <v>634.99768396897502</v>
      </c>
      <c r="M109" s="299">
        <f>(E109*'Inputs and eligible population'!$Q$104)/1000</f>
        <v>608.75807263850902</v>
      </c>
      <c r="N109" s="299">
        <f>(F109*'Inputs and eligible population'!$Q$104)/1000</f>
        <v>548.21026562148074</v>
      </c>
      <c r="O109" s="299">
        <f>(G109*'Inputs and eligible population'!$Q$104)/1000</f>
        <v>484.73485944646495</v>
      </c>
      <c r="P109" s="299">
        <f>(H109*'Inputs and eligible population'!$Q$104)/1000</f>
        <v>419.98445391491055</v>
      </c>
      <c r="Q109" s="299">
        <f>(I109*'Inputs and eligible population'!$Q$104)/1000</f>
        <v>420.5609986254629</v>
      </c>
      <c r="V109" s="133"/>
      <c r="AJ109" s="292"/>
      <c r="AK109" s="292"/>
      <c r="AL109" s="292"/>
      <c r="AM109" s="292"/>
      <c r="AN109" s="292"/>
    </row>
    <row r="110" spans="1:40" x14ac:dyDescent="0.25">
      <c r="A110" s="293"/>
      <c r="B110" s="358" t="s">
        <v>1250</v>
      </c>
      <c r="C110" s="149">
        <f>'Inputs and eligible population'!J104</f>
        <v>15</v>
      </c>
      <c r="D110" s="128">
        <f t="shared" ref="D110:I110" si="60">((D78+D77+D79)*$C$110)/60</f>
        <v>20330.923336130894</v>
      </c>
      <c r="E110" s="128">
        <f t="shared" si="60"/>
        <v>19198.30520738427</v>
      </c>
      <c r="F110" s="128">
        <f t="shared" si="60"/>
        <v>16462.044458940523</v>
      </c>
      <c r="G110" s="128">
        <f t="shared" si="60"/>
        <v>13643.988620082431</v>
      </c>
      <c r="H110" s="128">
        <f t="shared" si="60"/>
        <v>10841.738880383982</v>
      </c>
      <c r="I110" s="128">
        <f t="shared" si="60"/>
        <v>10367.313632841184</v>
      </c>
      <c r="J110" s="293"/>
      <c r="K110" s="747">
        <f>'Inputs and eligible population'!$Q$104</f>
        <v>38.99</v>
      </c>
      <c r="L110" s="299">
        <f>(D110*'Inputs and eligible population'!$Q$104)/1000</f>
        <v>792.70270087574363</v>
      </c>
      <c r="M110" s="299">
        <f>(E110*'Inputs and eligible population'!$Q$104)/1000</f>
        <v>748.54192003591277</v>
      </c>
      <c r="N110" s="299">
        <f>(F110*'Inputs and eligible population'!$Q$104)/1000</f>
        <v>641.855113454091</v>
      </c>
      <c r="O110" s="299">
        <f>(G110*'Inputs and eligible population'!$Q$104)/1000</f>
        <v>531.979116297014</v>
      </c>
      <c r="P110" s="299">
        <f>(H110*'Inputs and eligible population'!$Q$104)/1000</f>
        <v>422.71939894617151</v>
      </c>
      <c r="Q110" s="299">
        <f>(I110*'Inputs and eligible population'!$Q$104)/1000</f>
        <v>404.22155854447777</v>
      </c>
      <c r="V110" s="133"/>
      <c r="AJ110" s="292"/>
      <c r="AK110" s="292"/>
      <c r="AL110" s="292"/>
      <c r="AM110" s="292"/>
      <c r="AN110" s="292"/>
    </row>
    <row r="111" spans="1:40" x14ac:dyDescent="0.25">
      <c r="A111" s="293"/>
      <c r="B111" s="289"/>
      <c r="C111" s="289"/>
      <c r="D111" s="187">
        <f>SUM(D106:D110)</f>
        <v>41526.819740377541</v>
      </c>
      <c r="E111" s="187">
        <f t="shared" ref="E111:I111" si="61">SUM(E106:E110)</f>
        <v>42166.908087454183</v>
      </c>
      <c r="F111" s="187">
        <f t="shared" si="61"/>
        <v>45410.689001161678</v>
      </c>
      <c r="G111" s="187">
        <f t="shared" si="61"/>
        <v>50487.95959902586</v>
      </c>
      <c r="H111" s="187">
        <f t="shared" si="61"/>
        <v>55482.351320682967</v>
      </c>
      <c r="I111" s="187">
        <f t="shared" si="61"/>
        <v>58397.205539418719</v>
      </c>
      <c r="J111" s="293"/>
      <c r="K111" s="293"/>
      <c r="L111" s="300">
        <f>SUM(L106:L110)</f>
        <v>1619.1307016773208</v>
      </c>
      <c r="M111" s="300">
        <f t="shared" ref="M111:Q111" si="62">SUM(M106:M110)</f>
        <v>1644.0877463298389</v>
      </c>
      <c r="N111" s="300">
        <f t="shared" si="62"/>
        <v>1770.562764155294</v>
      </c>
      <c r="O111" s="300">
        <f t="shared" si="62"/>
        <v>1968.5255447660184</v>
      </c>
      <c r="P111" s="300">
        <f t="shared" si="62"/>
        <v>2163.2568779934286</v>
      </c>
      <c r="Q111" s="300">
        <f t="shared" si="62"/>
        <v>2276.9070439819357</v>
      </c>
      <c r="R111" s="133"/>
      <c r="S111" s="133"/>
      <c r="T111" s="133"/>
      <c r="U111" s="133"/>
      <c r="V111" s="133"/>
      <c r="W111" s="133"/>
      <c r="X111" s="133"/>
      <c r="Y111" s="133"/>
      <c r="Z111" s="133"/>
      <c r="AJ111" s="292"/>
      <c r="AK111" s="292"/>
      <c r="AL111" s="292"/>
      <c r="AM111" s="292"/>
      <c r="AN111" s="292"/>
    </row>
    <row r="112" spans="1:40" x14ac:dyDescent="0.25">
      <c r="A112" s="293"/>
      <c r="B112" s="312"/>
      <c r="C112" s="289"/>
      <c r="D112" s="291" t="s">
        <v>764</v>
      </c>
      <c r="E112" s="187">
        <f>E111-$D$111</f>
        <v>640.08834707664209</v>
      </c>
      <c r="F112" s="187">
        <f>F111-$D$111</f>
        <v>3883.8692607841367</v>
      </c>
      <c r="G112" s="187">
        <f>G111-$D$111</f>
        <v>8961.1398586483192</v>
      </c>
      <c r="H112" s="187">
        <f>H111-$D$111</f>
        <v>13955.531580305425</v>
      </c>
      <c r="I112" s="187">
        <f>I111-$D$111</f>
        <v>16870.385799041178</v>
      </c>
      <c r="J112" s="293"/>
      <c r="K112" s="293"/>
      <c r="L112" s="589"/>
      <c r="M112" s="300">
        <f>M111-$L$111</f>
        <v>24.957044652518107</v>
      </c>
      <c r="N112" s="300">
        <f>N111-$L$111</f>
        <v>151.4320624779732</v>
      </c>
      <c r="O112" s="300">
        <f>O111-$L$111</f>
        <v>349.3948430886976</v>
      </c>
      <c r="P112" s="300">
        <f>P111-$L$111</f>
        <v>544.12617631610783</v>
      </c>
      <c r="Q112" s="300">
        <f>Q111-$L$111</f>
        <v>657.7763423046149</v>
      </c>
      <c r="R112" s="133"/>
      <c r="S112" s="133"/>
      <c r="T112" s="133"/>
      <c r="U112" s="133"/>
      <c r="V112" s="133"/>
      <c r="W112" s="133"/>
      <c r="X112" s="133"/>
      <c r="Y112" s="133"/>
      <c r="Z112" s="133"/>
      <c r="AJ112" s="292"/>
      <c r="AK112" s="292"/>
      <c r="AL112" s="292"/>
      <c r="AM112" s="292"/>
      <c r="AN112" s="292"/>
    </row>
    <row r="113" spans="1:40" x14ac:dyDescent="0.25">
      <c r="A113" s="293"/>
      <c r="B113" s="331"/>
      <c r="C113" s="219"/>
      <c r="D113" s="219"/>
      <c r="E113" s="219"/>
      <c r="F113" s="219"/>
      <c r="G113" s="219"/>
      <c r="H113" s="219"/>
      <c r="I113" s="219"/>
      <c r="J113" s="293"/>
      <c r="K113" s="293"/>
      <c r="L113" s="219"/>
      <c r="M113" s="219"/>
      <c r="N113" s="219"/>
      <c r="O113" s="219"/>
      <c r="P113" s="219"/>
      <c r="Q113" s="219"/>
      <c r="R113" s="133"/>
      <c r="S113" s="133"/>
      <c r="T113" s="133"/>
      <c r="U113" s="133"/>
      <c r="V113" s="133"/>
      <c r="W113" s="133"/>
      <c r="X113" s="133"/>
      <c r="Y113" s="133"/>
      <c r="Z113" s="133"/>
      <c r="AJ113" s="292"/>
      <c r="AK113" s="292"/>
      <c r="AL113" s="292"/>
      <c r="AM113" s="292"/>
      <c r="AN113" s="292"/>
    </row>
    <row r="114" spans="1:40" ht="13.5" hidden="1" customHeight="1" x14ac:dyDescent="0.25">
      <c r="A114" s="295"/>
      <c r="B114" s="332" t="s">
        <v>765</v>
      </c>
      <c r="C114" s="315"/>
      <c r="D114" s="314"/>
      <c r="E114" s="315"/>
      <c r="F114" s="316"/>
      <c r="G114" s="317"/>
      <c r="H114" s="317"/>
      <c r="I114" s="373"/>
      <c r="J114" s="295"/>
      <c r="K114" s="295"/>
      <c r="L114" s="295"/>
      <c r="M114" s="295"/>
      <c r="N114" s="295"/>
      <c r="O114" s="295"/>
      <c r="P114" s="295"/>
      <c r="Q114" s="295"/>
      <c r="R114" s="133"/>
      <c r="S114" s="133"/>
      <c r="T114" s="133"/>
      <c r="U114" s="133"/>
      <c r="V114" s="133"/>
      <c r="W114" s="133"/>
      <c r="X114" s="133"/>
      <c r="Y114" s="133"/>
      <c r="Z114" s="133"/>
      <c r="AJ114" s="292"/>
      <c r="AK114" s="292"/>
      <c r="AL114" s="292"/>
      <c r="AM114" s="292"/>
      <c r="AN114" s="292"/>
    </row>
    <row r="115" spans="1:40" hidden="1" x14ac:dyDescent="0.25">
      <c r="A115" s="295"/>
      <c r="B115" s="403" t="s">
        <v>766</v>
      </c>
      <c r="C115" s="404"/>
      <c r="D115" s="404"/>
      <c r="E115" s="404"/>
      <c r="F115" s="404"/>
      <c r="G115" s="404"/>
      <c r="H115" s="404"/>
      <c r="I115" s="222"/>
      <c r="J115" s="295"/>
      <c r="K115" s="295"/>
      <c r="L115" s="295"/>
      <c r="M115" s="295"/>
      <c r="N115" s="295"/>
      <c r="O115" s="295"/>
      <c r="P115" s="295"/>
      <c r="Q115" s="295"/>
      <c r="R115" s="133"/>
      <c r="S115" s="133"/>
      <c r="T115" s="133"/>
      <c r="U115" s="133"/>
      <c r="V115" s="133"/>
      <c r="W115" s="133"/>
      <c r="X115" s="133"/>
      <c r="Y115" s="133"/>
      <c r="Z115" s="133"/>
      <c r="AJ115" s="292"/>
      <c r="AK115" s="292"/>
      <c r="AL115" s="292"/>
      <c r="AM115" s="292"/>
      <c r="AN115" s="292"/>
    </row>
    <row r="116" spans="1:40" ht="75" hidden="1" x14ac:dyDescent="0.25">
      <c r="A116" s="295"/>
      <c r="B116" s="285" t="s">
        <v>131</v>
      </c>
      <c r="C116" s="166" t="s">
        <v>767</v>
      </c>
      <c r="D116" s="434" t="s">
        <v>743</v>
      </c>
      <c r="E116" s="261" t="s">
        <v>51</v>
      </c>
      <c r="F116" s="261" t="s">
        <v>52</v>
      </c>
      <c r="G116" s="165" t="s">
        <v>744</v>
      </c>
      <c r="H116" s="165" t="s">
        <v>745</v>
      </c>
      <c r="I116" s="261" t="s">
        <v>746</v>
      </c>
      <c r="J116" s="295"/>
      <c r="K116" s="295"/>
      <c r="L116" s="295"/>
      <c r="M116" s="295"/>
      <c r="N116" s="295"/>
      <c r="O116" s="295"/>
      <c r="P116" s="295"/>
      <c r="Q116" s="295"/>
      <c r="R116" s="133"/>
      <c r="S116" s="133"/>
      <c r="T116" s="133"/>
      <c r="U116" s="133"/>
      <c r="V116" s="133"/>
      <c r="W116" s="133"/>
      <c r="X116" s="133"/>
      <c r="Y116" s="133"/>
      <c r="Z116" s="133"/>
      <c r="AJ116" s="292"/>
      <c r="AK116" s="292"/>
      <c r="AL116" s="292"/>
      <c r="AM116" s="292"/>
      <c r="AN116" s="292"/>
    </row>
    <row r="117" spans="1:40" hidden="1" x14ac:dyDescent="0.25">
      <c r="A117" s="295"/>
      <c r="B117" s="358" t="s">
        <v>1181</v>
      </c>
      <c r="C117" s="149">
        <f>'Inputs and eligible population'!F105</f>
        <v>0</v>
      </c>
      <c r="D117" s="128" t="e">
        <f>D$7*'Inputs and eligible population'!#REF!*'Unit costs'!$O$9*'Capacity (local prices) 2nd'!$C117</f>
        <v>#REF!</v>
      </c>
      <c r="E117" s="128" t="e">
        <f>E$7*'Inputs and eligible population'!#REF!*'Unit costs'!$O$9*'Capacity (local prices) 2nd'!$C117</f>
        <v>#REF!</v>
      </c>
      <c r="F117" s="128" t="e">
        <f>F$7*'Inputs and eligible population'!#REF!*'Unit costs'!$O$9*'Capacity (local prices) 2nd'!$C117</f>
        <v>#REF!</v>
      </c>
      <c r="G117" s="128" t="e">
        <f>G$7*'Inputs and eligible population'!#REF!*'Unit costs'!$O$9*'Capacity (local prices) 2nd'!$C117</f>
        <v>#REF!</v>
      </c>
      <c r="H117" s="128" t="e">
        <f>H$7*'Inputs and eligible population'!#REF!*'Unit costs'!$O$9*'Capacity (local prices) 2nd'!$C117</f>
        <v>#REF!</v>
      </c>
      <c r="I117" s="128" t="e">
        <f>I$7*'Inputs and eligible population'!#REF!*'Unit costs'!$O$9*'Capacity (local prices) 2nd'!$C117</f>
        <v>#REF!</v>
      </c>
      <c r="J117" s="295"/>
      <c r="K117" s="295"/>
      <c r="L117" s="295"/>
      <c r="M117" s="295"/>
      <c r="N117" s="295"/>
      <c r="O117" s="295"/>
      <c r="P117" s="295"/>
      <c r="Q117" s="295"/>
      <c r="R117" s="133"/>
      <c r="S117" s="133"/>
      <c r="T117" s="133"/>
      <c r="U117" s="133"/>
      <c r="V117" s="133"/>
      <c r="W117" s="133"/>
      <c r="X117" s="133"/>
      <c r="Y117" s="133"/>
      <c r="Z117" s="133"/>
      <c r="AJ117" s="292"/>
      <c r="AK117" s="292"/>
      <c r="AL117" s="292"/>
      <c r="AM117" s="292"/>
      <c r="AN117" s="292"/>
    </row>
    <row r="118" spans="1:40" hidden="1" x14ac:dyDescent="0.25">
      <c r="A118" s="295"/>
      <c r="B118" s="358" t="s">
        <v>1182</v>
      </c>
      <c r="C118" s="149">
        <f>'Inputs and eligible population'!H105</f>
        <v>0</v>
      </c>
      <c r="D118" s="128" t="e">
        <f>D$7*'Inputs and eligible population'!#REF!*'Unit costs'!$O$14*'Capacity (local prices) 2nd'!$C118</f>
        <v>#REF!</v>
      </c>
      <c r="E118" s="128" t="e">
        <f>E$7*'Inputs and eligible population'!#REF!*'Unit costs'!$O$14*'Capacity (local prices) 2nd'!$C118</f>
        <v>#REF!</v>
      </c>
      <c r="F118" s="128" t="e">
        <f>F$7*'Inputs and eligible population'!#REF!*'Unit costs'!$O$14*'Capacity (local prices) 2nd'!$C118</f>
        <v>#REF!</v>
      </c>
      <c r="G118" s="128" t="e">
        <f>G$7*'Inputs and eligible population'!#REF!*'Unit costs'!$O$14*'Capacity (local prices) 2nd'!$C118</f>
        <v>#REF!</v>
      </c>
      <c r="H118" s="128" t="e">
        <f>H$7*'Inputs and eligible population'!#REF!*'Unit costs'!$O$14*'Capacity (local prices) 2nd'!$C118</f>
        <v>#REF!</v>
      </c>
      <c r="I118" s="128" t="e">
        <f>I$7*'Inputs and eligible population'!#REF!*'Unit costs'!$O$14*'Capacity (local prices) 2nd'!$C118</f>
        <v>#REF!</v>
      </c>
      <c r="J118" s="295"/>
      <c r="K118" s="295"/>
      <c r="L118" s="295"/>
      <c r="M118" s="295"/>
      <c r="N118" s="295"/>
      <c r="O118" s="295"/>
      <c r="P118" s="295"/>
      <c r="Q118" s="295"/>
      <c r="R118" s="133"/>
      <c r="S118" s="133"/>
      <c r="T118" s="133"/>
      <c r="U118" s="133"/>
      <c r="V118" s="133"/>
      <c r="W118" s="133"/>
      <c r="X118" s="133"/>
      <c r="Y118" s="133"/>
      <c r="Z118" s="133"/>
      <c r="AJ118" s="292"/>
      <c r="AK118" s="292"/>
      <c r="AL118" s="292"/>
      <c r="AM118" s="292"/>
      <c r="AN118" s="292"/>
    </row>
    <row r="119" spans="1:40" hidden="1" x14ac:dyDescent="0.25">
      <c r="A119" s="295"/>
      <c r="B119" s="358" t="s">
        <v>1183</v>
      </c>
      <c r="C119" s="149">
        <f>'Inputs and eligible population'!I105</f>
        <v>0</v>
      </c>
      <c r="D119" s="128" t="e">
        <f>D$7*'Inputs and eligible population'!#REF!*'Unit costs'!$O$36*'Capacity (local prices) 2nd'!$C119</f>
        <v>#REF!</v>
      </c>
      <c r="E119" s="128" t="e">
        <f>E$7*'Inputs and eligible population'!#REF!*'Unit costs'!$O$36*'Capacity (local prices) 2nd'!$C119</f>
        <v>#REF!</v>
      </c>
      <c r="F119" s="128" t="e">
        <f>F$7*'Inputs and eligible population'!#REF!*'Unit costs'!$O$36*'Capacity (local prices) 2nd'!$C119</f>
        <v>#REF!</v>
      </c>
      <c r="G119" s="128" t="e">
        <f>G$7*'Inputs and eligible population'!#REF!*'Unit costs'!$O$36*'Capacity (local prices) 2nd'!$C119</f>
        <v>#REF!</v>
      </c>
      <c r="H119" s="128" t="e">
        <f>H$7*'Inputs and eligible population'!#REF!*'Unit costs'!$O$36*'Capacity (local prices) 2nd'!$C119</f>
        <v>#REF!</v>
      </c>
      <c r="I119" s="128" t="e">
        <f>I$7*'Inputs and eligible population'!#REF!*'Unit costs'!$O$36*'Capacity (local prices) 2nd'!$C119</f>
        <v>#REF!</v>
      </c>
      <c r="J119" s="295"/>
      <c r="K119" s="295"/>
      <c r="L119" s="295"/>
      <c r="M119" s="295"/>
      <c r="N119" s="295"/>
      <c r="O119" s="295"/>
      <c r="P119" s="295"/>
      <c r="Q119" s="295"/>
      <c r="R119" s="133"/>
      <c r="S119" s="133"/>
      <c r="T119" s="133"/>
      <c r="U119" s="133"/>
      <c r="V119" s="133"/>
      <c r="W119" s="133"/>
      <c r="X119" s="133"/>
      <c r="Y119" s="133"/>
      <c r="Z119" s="133"/>
      <c r="AJ119" s="292"/>
      <c r="AK119" s="292"/>
      <c r="AL119" s="292"/>
      <c r="AM119" s="292"/>
      <c r="AN119" s="292"/>
    </row>
    <row r="120" spans="1:40" hidden="1" x14ac:dyDescent="0.25">
      <c r="A120" s="295"/>
      <c r="B120" s="289"/>
      <c r="C120" s="209"/>
      <c r="D120" s="187" t="e">
        <f t="shared" ref="D120:I120" si="63">SUM(D117:D119)</f>
        <v>#REF!</v>
      </c>
      <c r="E120" s="187" t="e">
        <f>SUM(E117:E119)</f>
        <v>#REF!</v>
      </c>
      <c r="F120" s="187" t="e">
        <f t="shared" si="63"/>
        <v>#REF!</v>
      </c>
      <c r="G120" s="187" t="e">
        <f t="shared" si="63"/>
        <v>#REF!</v>
      </c>
      <c r="H120" s="187" t="e">
        <f t="shared" si="63"/>
        <v>#REF!</v>
      </c>
      <c r="I120" s="187" t="e">
        <f t="shared" si="63"/>
        <v>#REF!</v>
      </c>
      <c r="J120" s="295"/>
      <c r="K120" s="295"/>
      <c r="L120" s="295"/>
      <c r="M120" s="295"/>
      <c r="N120" s="295"/>
      <c r="O120" s="295"/>
      <c r="P120" s="295"/>
      <c r="Q120" s="295"/>
      <c r="R120" s="133"/>
      <c r="S120" s="133"/>
      <c r="T120" s="133"/>
      <c r="U120" s="133"/>
      <c r="V120" s="133"/>
      <c r="W120" s="133"/>
      <c r="X120" s="133"/>
      <c r="Y120" s="133"/>
      <c r="Z120" s="133"/>
      <c r="AJ120" s="292"/>
      <c r="AK120" s="292"/>
      <c r="AL120" s="292"/>
      <c r="AM120" s="292"/>
      <c r="AN120" s="292"/>
    </row>
    <row r="121" spans="1:40" hidden="1" x14ac:dyDescent="0.25">
      <c r="A121" s="295"/>
      <c r="B121" s="312"/>
      <c r="C121" s="227"/>
      <c r="D121" s="291" t="s">
        <v>184</v>
      </c>
      <c r="E121" s="187" t="e">
        <f>E120-$D$120</f>
        <v>#REF!</v>
      </c>
      <c r="F121" s="187" t="e">
        <f>F120-$D$120</f>
        <v>#REF!</v>
      </c>
      <c r="G121" s="187" t="e">
        <f>G120-$D$120</f>
        <v>#REF!</v>
      </c>
      <c r="H121" s="187" t="e">
        <f>H120-$D$120</f>
        <v>#REF!</v>
      </c>
      <c r="I121" s="187" t="e">
        <f>I120-$D$120</f>
        <v>#REF!</v>
      </c>
      <c r="J121" s="295"/>
      <c r="K121" s="295"/>
      <c r="L121" s="295"/>
      <c r="M121" s="295"/>
      <c r="N121" s="295"/>
      <c r="O121" s="295"/>
      <c r="P121" s="295"/>
      <c r="Q121" s="295"/>
      <c r="R121" s="133"/>
      <c r="S121" s="133"/>
      <c r="T121" s="133"/>
      <c r="U121" s="133"/>
      <c r="V121" s="133"/>
      <c r="W121" s="133"/>
      <c r="X121" s="133"/>
      <c r="Y121" s="133"/>
      <c r="Z121" s="133"/>
      <c r="AJ121" s="292"/>
      <c r="AK121" s="292"/>
      <c r="AL121" s="292"/>
      <c r="AM121" s="292"/>
      <c r="AN121" s="292"/>
    </row>
    <row r="122" spans="1:40" hidden="1" x14ac:dyDescent="0.25">
      <c r="A122" s="295"/>
      <c r="B122" s="333"/>
      <c r="C122" s="404"/>
      <c r="D122" s="223"/>
      <c r="E122" s="223"/>
      <c r="F122" s="223"/>
      <c r="G122" s="223"/>
      <c r="H122" s="317"/>
      <c r="I122" s="317"/>
      <c r="J122" s="295"/>
      <c r="K122" s="295"/>
      <c r="L122" s="295"/>
      <c r="M122" s="295"/>
      <c r="N122" s="295"/>
      <c r="O122" s="295"/>
      <c r="P122" s="295"/>
      <c r="Q122" s="295"/>
      <c r="R122" s="133"/>
      <c r="S122" s="133"/>
      <c r="T122" s="133"/>
      <c r="U122" s="133"/>
      <c r="V122" s="133"/>
      <c r="W122" s="133"/>
      <c r="X122" s="133"/>
      <c r="Y122" s="133"/>
      <c r="Z122" s="133"/>
      <c r="AJ122" s="292"/>
      <c r="AK122" s="292"/>
      <c r="AL122" s="292"/>
      <c r="AM122" s="292"/>
      <c r="AN122" s="292"/>
    </row>
    <row r="123" spans="1:40" hidden="1" x14ac:dyDescent="0.25">
      <c r="A123" s="295"/>
      <c r="B123" s="403" t="s">
        <v>768</v>
      </c>
      <c r="C123" s="404"/>
      <c r="D123" s="404"/>
      <c r="E123" s="404"/>
      <c r="F123" s="404"/>
      <c r="G123" s="404"/>
      <c r="H123" s="404"/>
      <c r="I123" s="222"/>
      <c r="J123" s="295"/>
      <c r="K123" s="295"/>
      <c r="L123" s="295"/>
      <c r="M123" s="295"/>
      <c r="N123" s="295"/>
      <c r="O123" s="295"/>
      <c r="P123" s="295"/>
      <c r="Q123" s="295"/>
      <c r="R123" s="133"/>
      <c r="S123" s="133"/>
      <c r="T123" s="133"/>
      <c r="U123" s="133"/>
      <c r="V123" s="133"/>
      <c r="W123" s="133"/>
      <c r="X123" s="133"/>
      <c r="Y123" s="133"/>
      <c r="Z123" s="133"/>
      <c r="AJ123" s="292"/>
      <c r="AK123" s="292"/>
      <c r="AL123" s="292"/>
      <c r="AM123" s="292"/>
      <c r="AN123" s="292"/>
    </row>
    <row r="124" spans="1:40" ht="75" hidden="1" x14ac:dyDescent="0.25">
      <c r="A124" s="295"/>
      <c r="B124" s="285" t="s">
        <v>131</v>
      </c>
      <c r="C124" s="166" t="s">
        <v>769</v>
      </c>
      <c r="D124" s="434" t="s">
        <v>743</v>
      </c>
      <c r="E124" s="261" t="s">
        <v>51</v>
      </c>
      <c r="F124" s="261" t="s">
        <v>52</v>
      </c>
      <c r="G124" s="165" t="s">
        <v>744</v>
      </c>
      <c r="H124" s="165" t="s">
        <v>745</v>
      </c>
      <c r="I124" s="261" t="s">
        <v>746</v>
      </c>
      <c r="J124" s="295"/>
      <c r="K124" s="295"/>
      <c r="L124" s="295"/>
      <c r="M124" s="295"/>
      <c r="N124" s="295"/>
      <c r="O124" s="295"/>
      <c r="P124" s="295"/>
      <c r="Q124" s="295"/>
      <c r="R124" s="133"/>
      <c r="S124" s="133"/>
      <c r="T124" s="133"/>
      <c r="U124" s="133"/>
      <c r="V124" s="133"/>
      <c r="W124" s="133"/>
      <c r="X124" s="133"/>
      <c r="Y124" s="133"/>
      <c r="Z124" s="133"/>
      <c r="AJ124" s="292"/>
      <c r="AK124" s="292"/>
      <c r="AL124" s="292"/>
      <c r="AM124" s="292"/>
      <c r="AN124" s="292"/>
    </row>
    <row r="125" spans="1:40" hidden="1" x14ac:dyDescent="0.25">
      <c r="A125" s="295"/>
      <c r="B125" s="358" t="s">
        <v>1181</v>
      </c>
      <c r="C125" s="149">
        <f>'Inputs and eligible population'!F106</f>
        <v>0</v>
      </c>
      <c r="D125" s="128" t="e">
        <f>D$7*'Inputs and eligible population'!#REF!*'Unit costs'!$O$9*'Capacity (local prices) 2nd'!$C125</f>
        <v>#REF!</v>
      </c>
      <c r="E125" s="128" t="e">
        <f>E$7*'Inputs and eligible population'!#REF!*'Unit costs'!$O$9*'Capacity (local prices) 2nd'!$C125</f>
        <v>#REF!</v>
      </c>
      <c r="F125" s="128" t="e">
        <f>F$7*'Inputs and eligible population'!#REF!*'Unit costs'!$O$9*'Capacity (local prices) 2nd'!$C125</f>
        <v>#REF!</v>
      </c>
      <c r="G125" s="128" t="e">
        <f>G$7*'Inputs and eligible population'!#REF!*'Unit costs'!$O$9*'Capacity (local prices) 2nd'!$C125</f>
        <v>#REF!</v>
      </c>
      <c r="H125" s="128" t="e">
        <f>H$7*'Inputs and eligible population'!#REF!*'Unit costs'!$O$9*'Capacity (local prices) 2nd'!$C125</f>
        <v>#REF!</v>
      </c>
      <c r="I125" s="128" t="e">
        <f>I$7*'Inputs and eligible population'!#REF!*'Unit costs'!$O$9*'Capacity (local prices) 2nd'!$C125</f>
        <v>#REF!</v>
      </c>
      <c r="J125" s="295"/>
      <c r="K125" s="295"/>
      <c r="L125" s="223"/>
      <c r="M125" s="223"/>
      <c r="N125" s="295"/>
      <c r="O125" s="223"/>
      <c r="P125" s="223"/>
      <c r="Q125" s="223"/>
      <c r="R125" s="133"/>
      <c r="S125" s="133"/>
      <c r="T125" s="133"/>
      <c r="U125" s="133"/>
      <c r="V125" s="133"/>
      <c r="W125" s="133"/>
      <c r="X125" s="133"/>
      <c r="Y125" s="133"/>
      <c r="Z125" s="133"/>
      <c r="AJ125" s="292"/>
      <c r="AK125" s="292"/>
      <c r="AL125" s="292"/>
      <c r="AM125" s="292"/>
      <c r="AN125" s="292"/>
    </row>
    <row r="126" spans="1:40" hidden="1" x14ac:dyDescent="0.25">
      <c r="A126" s="295"/>
      <c r="B126" s="358" t="s">
        <v>1182</v>
      </c>
      <c r="C126" s="149">
        <f>'Inputs and eligible population'!H106</f>
        <v>0</v>
      </c>
      <c r="D126" s="128" t="e">
        <f>D$7*'Inputs and eligible population'!#REF!*'Unit costs'!$O$36*'Capacity (local prices) 2nd'!$C126</f>
        <v>#REF!</v>
      </c>
      <c r="E126" s="128" t="e">
        <f>E$7*'Inputs and eligible population'!#REF!*'Unit costs'!$O$36*'Capacity (local prices) 2nd'!$C126</f>
        <v>#REF!</v>
      </c>
      <c r="F126" s="128" t="e">
        <f>F$7*'Inputs and eligible population'!#REF!*'Unit costs'!$O$36*'Capacity (local prices) 2nd'!$C126</f>
        <v>#REF!</v>
      </c>
      <c r="G126" s="128" t="e">
        <f>G$7*'Inputs and eligible population'!#REF!*'Unit costs'!$O$36*'Capacity (local prices) 2nd'!$C126</f>
        <v>#REF!</v>
      </c>
      <c r="H126" s="128" t="e">
        <f>H$7*'Inputs and eligible population'!#REF!*'Unit costs'!$O$36*'Capacity (local prices) 2nd'!$C126</f>
        <v>#REF!</v>
      </c>
      <c r="I126" s="128" t="e">
        <f>I$7*'Inputs and eligible population'!#REF!*'Unit costs'!$O$36*'Capacity (local prices) 2nd'!$C126</f>
        <v>#REF!</v>
      </c>
      <c r="J126" s="295"/>
      <c r="K126" s="295"/>
      <c r="L126" s="223"/>
      <c r="M126" s="223"/>
      <c r="N126" s="295"/>
      <c r="O126" s="223"/>
      <c r="P126" s="223"/>
      <c r="Q126" s="223"/>
      <c r="R126" s="133"/>
      <c r="S126" s="133"/>
      <c r="T126" s="133"/>
      <c r="U126" s="133"/>
      <c r="V126" s="133"/>
      <c r="W126" s="133"/>
      <c r="X126" s="133"/>
      <c r="Y126" s="133"/>
      <c r="Z126" s="133"/>
      <c r="AJ126" s="292"/>
      <c r="AK126" s="292"/>
      <c r="AL126" s="292"/>
      <c r="AM126" s="292"/>
      <c r="AN126" s="292"/>
    </row>
    <row r="127" spans="1:40" hidden="1" x14ac:dyDescent="0.25">
      <c r="A127" s="295"/>
      <c r="B127" s="358" t="s">
        <v>1183</v>
      </c>
      <c r="C127" s="149">
        <f>'Inputs and eligible population'!I106</f>
        <v>0</v>
      </c>
      <c r="D127" s="128" t="e">
        <f>D$7*'Inputs and eligible population'!#REF!*'Unit costs'!$O$44*'Capacity (local prices) 2nd'!$C127</f>
        <v>#REF!</v>
      </c>
      <c r="E127" s="128" t="e">
        <f>E$7*'Inputs and eligible population'!#REF!*'Unit costs'!$O$44*'Capacity (local prices) 2nd'!$C127</f>
        <v>#REF!</v>
      </c>
      <c r="F127" s="128" t="e">
        <f>F$7*'Inputs and eligible population'!#REF!*'Unit costs'!$O$44*'Capacity (local prices) 2nd'!$C127</f>
        <v>#REF!</v>
      </c>
      <c r="G127" s="128" t="e">
        <f>G$7*'Inputs and eligible population'!#REF!*'Unit costs'!$O$44*'Capacity (local prices) 2nd'!$C127</f>
        <v>#REF!</v>
      </c>
      <c r="H127" s="128" t="e">
        <f>H$7*'Inputs and eligible population'!#REF!*'Unit costs'!$O$44*'Capacity (local prices) 2nd'!$C127</f>
        <v>#REF!</v>
      </c>
      <c r="I127" s="128" t="e">
        <f>I$7*'Inputs and eligible population'!#REF!*'Unit costs'!$O$44*'Capacity (local prices) 2nd'!$C127</f>
        <v>#REF!</v>
      </c>
      <c r="J127" s="295"/>
      <c r="K127" s="295"/>
      <c r="L127" s="223"/>
      <c r="M127" s="223"/>
      <c r="N127" s="295"/>
      <c r="O127" s="223"/>
      <c r="P127" s="223"/>
      <c r="Q127" s="223"/>
      <c r="R127" s="133"/>
      <c r="S127" s="133"/>
      <c r="T127" s="133"/>
      <c r="U127" s="133"/>
      <c r="V127" s="133"/>
      <c r="W127" s="133"/>
      <c r="X127" s="133"/>
      <c r="Y127" s="133"/>
      <c r="Z127" s="133"/>
      <c r="AJ127" s="292"/>
      <c r="AK127" s="292"/>
      <c r="AL127" s="292"/>
      <c r="AM127" s="292"/>
      <c r="AN127" s="292"/>
    </row>
    <row r="128" spans="1:40" hidden="1" x14ac:dyDescent="0.25">
      <c r="A128" s="295"/>
      <c r="B128" s="289"/>
      <c r="C128" s="209"/>
      <c r="D128" s="187" t="e">
        <f t="shared" ref="D128:I128" si="64">SUM(D125:D127)</f>
        <v>#REF!</v>
      </c>
      <c r="E128" s="187" t="e">
        <f t="shared" si="64"/>
        <v>#REF!</v>
      </c>
      <c r="F128" s="187" t="e">
        <f t="shared" si="64"/>
        <v>#REF!</v>
      </c>
      <c r="G128" s="187" t="e">
        <f t="shared" si="64"/>
        <v>#REF!</v>
      </c>
      <c r="H128" s="187" t="e">
        <f t="shared" si="64"/>
        <v>#REF!</v>
      </c>
      <c r="I128" s="187" t="e">
        <f t="shared" si="64"/>
        <v>#REF!</v>
      </c>
      <c r="J128" s="295"/>
      <c r="K128" s="295"/>
      <c r="L128" s="223"/>
      <c r="M128" s="223"/>
      <c r="N128" s="295"/>
      <c r="O128" s="223"/>
      <c r="P128" s="223"/>
      <c r="Q128" s="223"/>
      <c r="V128" s="133"/>
    </row>
    <row r="129" spans="1:22" hidden="1" x14ac:dyDescent="0.25">
      <c r="A129" s="295"/>
      <c r="B129" s="312"/>
      <c r="C129" s="227"/>
      <c r="D129" s="291" t="s">
        <v>185</v>
      </c>
      <c r="E129" s="187" t="e">
        <f>E128-$D$128</f>
        <v>#REF!</v>
      </c>
      <c r="F129" s="187" t="e">
        <f>F128-$D$128</f>
        <v>#REF!</v>
      </c>
      <c r="G129" s="187" t="e">
        <f>G128-$D$128</f>
        <v>#REF!</v>
      </c>
      <c r="H129" s="187" t="e">
        <f>H128-$D$128</f>
        <v>#REF!</v>
      </c>
      <c r="I129" s="187" t="e">
        <f>I128-$D$128</f>
        <v>#REF!</v>
      </c>
      <c r="J129" s="295"/>
      <c r="K129" s="295"/>
      <c r="L129" s="223"/>
      <c r="M129" s="223"/>
      <c r="N129" s="295"/>
      <c r="O129" s="223"/>
      <c r="P129" s="223"/>
      <c r="Q129" s="223"/>
      <c r="V129" s="133"/>
    </row>
    <row r="130" spans="1:22" hidden="1" x14ac:dyDescent="0.25">
      <c r="A130" s="295"/>
      <c r="B130" s="333"/>
      <c r="C130" s="404"/>
      <c r="D130" s="223"/>
      <c r="E130" s="223"/>
      <c r="F130" s="223"/>
      <c r="G130" s="223"/>
      <c r="H130" s="317"/>
      <c r="I130" s="317"/>
      <c r="J130" s="295"/>
      <c r="K130" s="295"/>
      <c r="L130" s="223"/>
      <c r="M130" s="223"/>
      <c r="N130" s="295"/>
      <c r="O130" s="223"/>
      <c r="P130" s="223"/>
      <c r="Q130" s="223"/>
      <c r="V130" s="133"/>
    </row>
    <row r="131" spans="1:22" hidden="1" x14ac:dyDescent="0.25">
      <c r="A131" s="295"/>
      <c r="B131" s="403" t="s">
        <v>770</v>
      </c>
      <c r="C131" s="404"/>
      <c r="D131" s="404"/>
      <c r="E131" s="404"/>
      <c r="F131" s="404"/>
      <c r="G131" s="404"/>
      <c r="H131" s="404"/>
      <c r="I131" s="222"/>
      <c r="J131" s="295"/>
      <c r="K131" s="295"/>
      <c r="L131" s="295"/>
      <c r="M131" s="295"/>
      <c r="N131" s="295"/>
      <c r="O131" s="295"/>
      <c r="P131" s="295"/>
      <c r="Q131" s="295"/>
      <c r="V131" s="133"/>
    </row>
    <row r="132" spans="1:22" ht="75" hidden="1" x14ac:dyDescent="0.25">
      <c r="A132" s="295"/>
      <c r="B132" s="285" t="s">
        <v>131</v>
      </c>
      <c r="C132" s="166" t="s">
        <v>771</v>
      </c>
      <c r="D132" s="434" t="s">
        <v>743</v>
      </c>
      <c r="E132" s="261" t="s">
        <v>51</v>
      </c>
      <c r="F132" s="261" t="s">
        <v>52</v>
      </c>
      <c r="G132" s="165" t="s">
        <v>744</v>
      </c>
      <c r="H132" s="165" t="s">
        <v>745</v>
      </c>
      <c r="I132" s="261" t="s">
        <v>746</v>
      </c>
      <c r="J132" s="295"/>
      <c r="K132" s="295"/>
      <c r="L132" s="434" t="s">
        <v>743</v>
      </c>
      <c r="M132" s="261" t="s">
        <v>51</v>
      </c>
      <c r="N132" s="261" t="s">
        <v>52</v>
      </c>
      <c r="O132" s="165" t="s">
        <v>744</v>
      </c>
      <c r="P132" s="165" t="s">
        <v>745</v>
      </c>
      <c r="Q132" s="261" t="s">
        <v>746</v>
      </c>
      <c r="V132" s="133"/>
    </row>
    <row r="133" spans="1:22" hidden="1" x14ac:dyDescent="0.25">
      <c r="A133" s="295"/>
      <c r="B133" s="358" t="s">
        <v>1181</v>
      </c>
      <c r="C133" s="149">
        <f>'Inputs and eligible population'!F107</f>
        <v>0</v>
      </c>
      <c r="D133" s="128" t="e">
        <f>(D$7*'Inputs and eligible population'!#REF!*'Unit costs'!$O$9*'Capacity (local prices) 2nd'!$C133)/60</f>
        <v>#REF!</v>
      </c>
      <c r="E133" s="128" t="e">
        <f>(E$7*'Inputs and eligible population'!#REF!*'Unit costs'!$O$9*'Capacity (local prices) 2nd'!$C133)/60</f>
        <v>#REF!</v>
      </c>
      <c r="F133" s="128" t="e">
        <f>(F$7*'Inputs and eligible population'!#REF!*'Unit costs'!$O$9*'Capacity (local prices) 2nd'!$C133)/60</f>
        <v>#REF!</v>
      </c>
      <c r="G133" s="128" t="e">
        <f>(G$7*'Inputs and eligible population'!#REF!*'Unit costs'!$O$9*'Capacity (local prices) 2nd'!$C133)/60</f>
        <v>#REF!</v>
      </c>
      <c r="H133" s="128" t="e">
        <f>(H$7*'Inputs and eligible population'!#REF!*'Unit costs'!$O$9*'Capacity (local prices) 2nd'!$C133)/60</f>
        <v>#REF!</v>
      </c>
      <c r="I133" s="128" t="e">
        <f>(I$7*'Inputs and eligible population'!#REF!*'Unit costs'!$O$9*'Capacity (local prices) 2nd'!$C133)/60</f>
        <v>#REF!</v>
      </c>
      <c r="J133" s="295"/>
      <c r="K133" s="295"/>
      <c r="L133" s="299" t="e">
        <f>(D133*'Inputs and eligible population'!$P$107)/1000</f>
        <v>#REF!</v>
      </c>
      <c r="M133" s="299" t="e">
        <f>(E133*'Inputs and eligible population'!$P$107)/1000</f>
        <v>#REF!</v>
      </c>
      <c r="N133" s="299" t="e">
        <f>(F133*'Inputs and eligible population'!$P$107)/1000</f>
        <v>#REF!</v>
      </c>
      <c r="O133" s="299" t="e">
        <f>(G133*'Inputs and eligible population'!$P$107)/1000</f>
        <v>#REF!</v>
      </c>
      <c r="P133" s="299" t="e">
        <f>(H133*'Inputs and eligible population'!$P$107)/1000</f>
        <v>#REF!</v>
      </c>
      <c r="Q133" s="299" t="e">
        <f>(I133*'Inputs and eligible population'!$P$107)/1000</f>
        <v>#REF!</v>
      </c>
      <c r="V133" s="133"/>
    </row>
    <row r="134" spans="1:22" hidden="1" x14ac:dyDescent="0.25">
      <c r="A134" s="295"/>
      <c r="B134" s="358" t="s">
        <v>1182</v>
      </c>
      <c r="C134" s="149">
        <f>'Inputs and eligible population'!H107</f>
        <v>0</v>
      </c>
      <c r="D134" s="128" t="e">
        <f>(D$7*'Inputs and eligible population'!#REF!*'Unit costs'!$O$36*'Capacity (local prices) 2nd'!$C134)/60</f>
        <v>#REF!</v>
      </c>
      <c r="E134" s="128" t="e">
        <f>(E$7*'Inputs and eligible population'!#REF!*'Unit costs'!$O$36*'Capacity (local prices) 2nd'!$C134)/60</f>
        <v>#REF!</v>
      </c>
      <c r="F134" s="128" t="e">
        <f>(F$7*'Inputs and eligible population'!#REF!*'Unit costs'!$O$36*'Capacity (local prices) 2nd'!$C134)/60</f>
        <v>#REF!</v>
      </c>
      <c r="G134" s="128" t="e">
        <f>(G$7*'Inputs and eligible population'!#REF!*'Unit costs'!$O$36*'Capacity (local prices) 2nd'!$C134)/60</f>
        <v>#REF!</v>
      </c>
      <c r="H134" s="128" t="e">
        <f>(H$7*'Inputs and eligible population'!#REF!*'Unit costs'!$O$36*'Capacity (local prices) 2nd'!$C134)/60</f>
        <v>#REF!</v>
      </c>
      <c r="I134" s="128" t="e">
        <f>(I$7*'Inputs and eligible population'!#REF!*'Unit costs'!$O$36*'Capacity (local prices) 2nd'!$C134)/60</f>
        <v>#REF!</v>
      </c>
      <c r="J134" s="295"/>
      <c r="K134" s="295"/>
      <c r="L134" s="299" t="e">
        <f>(D134*'Inputs and eligible population'!$P$107)/1000</f>
        <v>#REF!</v>
      </c>
      <c r="M134" s="299" t="e">
        <f>(E134*'Inputs and eligible population'!$P$107)/1000</f>
        <v>#REF!</v>
      </c>
      <c r="N134" s="299" t="e">
        <f>(F134*'Inputs and eligible population'!$P$107)/1000</f>
        <v>#REF!</v>
      </c>
      <c r="O134" s="299" t="e">
        <f>(G134*'Inputs and eligible population'!$P$107)/1000</f>
        <v>#REF!</v>
      </c>
      <c r="P134" s="299" t="e">
        <f>(H134*'Inputs and eligible population'!$P$107)/1000</f>
        <v>#REF!</v>
      </c>
      <c r="Q134" s="299" t="e">
        <f>(I134*'Inputs and eligible population'!$P$107)/1000</f>
        <v>#REF!</v>
      </c>
      <c r="V134" s="133"/>
    </row>
    <row r="135" spans="1:22" hidden="1" x14ac:dyDescent="0.25">
      <c r="A135" s="295"/>
      <c r="B135" s="358" t="s">
        <v>1183</v>
      </c>
      <c r="C135" s="149">
        <f>'Inputs and eligible population'!I107</f>
        <v>0</v>
      </c>
      <c r="D135" s="128" t="e">
        <f>(D$7*'Inputs and eligible population'!#REF!*'Unit costs'!$O$44*'Capacity (local prices) 2nd'!$C135)/60</f>
        <v>#REF!</v>
      </c>
      <c r="E135" s="128" t="e">
        <f>(E$7*'Inputs and eligible population'!#REF!*'Unit costs'!$O$44*'Capacity (local prices) 2nd'!$C135)/60</f>
        <v>#REF!</v>
      </c>
      <c r="F135" s="128" t="e">
        <f>(F$7*'Inputs and eligible population'!#REF!*'Unit costs'!$O$44*'Capacity (local prices) 2nd'!$C135)/60</f>
        <v>#REF!</v>
      </c>
      <c r="G135" s="128" t="e">
        <f>(G$7*'Inputs and eligible population'!#REF!*'Unit costs'!$O$44*'Capacity (local prices) 2nd'!$C135)/60</f>
        <v>#REF!</v>
      </c>
      <c r="H135" s="128" t="e">
        <f>(H$7*'Inputs and eligible population'!#REF!*'Unit costs'!$O$44*'Capacity (local prices) 2nd'!$C135)/60</f>
        <v>#REF!</v>
      </c>
      <c r="I135" s="128" t="e">
        <f>(I$7*'Inputs and eligible population'!#REF!*'Unit costs'!$O$44*'Capacity (local prices) 2nd'!$C135)/60</f>
        <v>#REF!</v>
      </c>
      <c r="J135" s="295"/>
      <c r="K135" s="295"/>
      <c r="L135" s="299" t="e">
        <f>(D135*'Inputs and eligible population'!$P$107)/1000</f>
        <v>#REF!</v>
      </c>
      <c r="M135" s="299" t="e">
        <f>(E135*'Inputs and eligible population'!$P$107)/1000</f>
        <v>#REF!</v>
      </c>
      <c r="N135" s="299" t="e">
        <f>(F135*'Inputs and eligible population'!$P$107)/1000</f>
        <v>#REF!</v>
      </c>
      <c r="O135" s="299" t="e">
        <f>(G135*'Inputs and eligible population'!$P$107)/1000</f>
        <v>#REF!</v>
      </c>
      <c r="P135" s="299" t="e">
        <f>(H135*'Inputs and eligible population'!$P$107)/1000</f>
        <v>#REF!</v>
      </c>
      <c r="Q135" s="299" t="e">
        <f>(I135*'Inputs and eligible population'!$P$107)/1000</f>
        <v>#REF!</v>
      </c>
      <c r="V135" s="133"/>
    </row>
    <row r="136" spans="1:22" hidden="1" x14ac:dyDescent="0.25">
      <c r="A136" s="295"/>
      <c r="B136" s="289"/>
      <c r="C136" s="209"/>
      <c r="D136" s="187" t="e">
        <f t="shared" ref="D136:I136" si="65">SUM(D133:D135)</f>
        <v>#REF!</v>
      </c>
      <c r="E136" s="187" t="e">
        <f t="shared" si="65"/>
        <v>#REF!</v>
      </c>
      <c r="F136" s="187" t="e">
        <f t="shared" si="65"/>
        <v>#REF!</v>
      </c>
      <c r="G136" s="187" t="e">
        <f t="shared" si="65"/>
        <v>#REF!</v>
      </c>
      <c r="H136" s="187" t="e">
        <f t="shared" si="65"/>
        <v>#REF!</v>
      </c>
      <c r="I136" s="187" t="e">
        <f t="shared" si="65"/>
        <v>#REF!</v>
      </c>
      <c r="J136" s="295"/>
      <c r="K136" s="295"/>
      <c r="L136" s="300" t="e">
        <f t="shared" ref="L136:Q136" si="66">SUM(L133:L135)</f>
        <v>#REF!</v>
      </c>
      <c r="M136" s="300" t="e">
        <f t="shared" si="66"/>
        <v>#REF!</v>
      </c>
      <c r="N136" s="300" t="e">
        <f t="shared" si="66"/>
        <v>#REF!</v>
      </c>
      <c r="O136" s="300" t="e">
        <f t="shared" si="66"/>
        <v>#REF!</v>
      </c>
      <c r="P136" s="300" t="e">
        <f t="shared" si="66"/>
        <v>#REF!</v>
      </c>
      <c r="Q136" s="300" t="e">
        <f t="shared" si="66"/>
        <v>#REF!</v>
      </c>
      <c r="V136" s="133"/>
    </row>
    <row r="137" spans="1:22" hidden="1" x14ac:dyDescent="0.25">
      <c r="A137" s="295"/>
      <c r="B137" s="312"/>
      <c r="C137" s="227"/>
      <c r="D137" s="291" t="s">
        <v>186</v>
      </c>
      <c r="E137" s="187" t="e">
        <f>E136-$D$136</f>
        <v>#REF!</v>
      </c>
      <c r="F137" s="187" t="e">
        <f>F136-$D$136</f>
        <v>#REF!</v>
      </c>
      <c r="G137" s="187" t="e">
        <f>G136-$D$136</f>
        <v>#REF!</v>
      </c>
      <c r="H137" s="187" t="e">
        <f>H136-$D$136</f>
        <v>#REF!</v>
      </c>
      <c r="I137" s="187" t="e">
        <f>I136-$D$136</f>
        <v>#REF!</v>
      </c>
      <c r="J137" s="295"/>
      <c r="K137" s="295"/>
      <c r="L137" s="590"/>
      <c r="M137" s="300" t="e">
        <f>M136-$L$136</f>
        <v>#REF!</v>
      </c>
      <c r="N137" s="300" t="e">
        <f>N136-$L$136</f>
        <v>#REF!</v>
      </c>
      <c r="O137" s="300" t="e">
        <f>O136-$L$136</f>
        <v>#REF!</v>
      </c>
      <c r="P137" s="300" t="e">
        <f>P136-$L$136</f>
        <v>#REF!</v>
      </c>
      <c r="Q137" s="300" t="e">
        <f>Q136-$L$136</f>
        <v>#REF!</v>
      </c>
      <c r="V137" s="133"/>
    </row>
    <row r="138" spans="1:22" hidden="1" x14ac:dyDescent="0.25">
      <c r="A138" s="295"/>
      <c r="B138" s="333"/>
      <c r="C138" s="404"/>
      <c r="D138" s="223"/>
      <c r="E138" s="223"/>
      <c r="F138" s="223"/>
      <c r="G138" s="223"/>
      <c r="H138" s="317"/>
      <c r="I138" s="317"/>
      <c r="J138" s="295"/>
      <c r="K138" s="295"/>
      <c r="L138" s="223"/>
      <c r="M138" s="223"/>
      <c r="N138" s="295"/>
      <c r="O138" s="223"/>
      <c r="P138" s="223"/>
      <c r="Q138" s="223"/>
      <c r="V138" s="133"/>
    </row>
    <row r="139" spans="1:22" hidden="1" x14ac:dyDescent="0.25">
      <c r="A139" s="295"/>
      <c r="B139" s="403" t="s">
        <v>772</v>
      </c>
      <c r="C139" s="404"/>
      <c r="D139" s="404"/>
      <c r="E139" s="404"/>
      <c r="F139" s="404"/>
      <c r="G139" s="404"/>
      <c r="H139" s="404"/>
      <c r="I139" s="222"/>
      <c r="J139" s="295"/>
      <c r="K139" s="295"/>
      <c r="L139" s="295"/>
      <c r="M139" s="295"/>
      <c r="N139" s="295"/>
      <c r="O139" s="295"/>
      <c r="P139" s="295"/>
      <c r="Q139" s="295"/>
      <c r="V139" s="133"/>
    </row>
    <row r="140" spans="1:22" ht="75" hidden="1" x14ac:dyDescent="0.25">
      <c r="A140" s="295"/>
      <c r="B140" s="285" t="s">
        <v>131</v>
      </c>
      <c r="C140" s="166" t="s">
        <v>773</v>
      </c>
      <c r="D140" s="434" t="s">
        <v>743</v>
      </c>
      <c r="E140" s="261" t="s">
        <v>51</v>
      </c>
      <c r="F140" s="261" t="s">
        <v>52</v>
      </c>
      <c r="G140" s="165" t="s">
        <v>744</v>
      </c>
      <c r="H140" s="165" t="s">
        <v>745</v>
      </c>
      <c r="I140" s="261" t="s">
        <v>746</v>
      </c>
      <c r="J140" s="295"/>
      <c r="K140" s="295"/>
      <c r="L140" s="434" t="s">
        <v>743</v>
      </c>
      <c r="M140" s="261" t="s">
        <v>51</v>
      </c>
      <c r="N140" s="261" t="s">
        <v>52</v>
      </c>
      <c r="O140" s="165" t="s">
        <v>744</v>
      </c>
      <c r="P140" s="165" t="s">
        <v>745</v>
      </c>
      <c r="Q140" s="261" t="s">
        <v>746</v>
      </c>
      <c r="V140" s="133"/>
    </row>
    <row r="141" spans="1:22" hidden="1" x14ac:dyDescent="0.25">
      <c r="A141" s="295"/>
      <c r="B141" s="358" t="s">
        <v>1181</v>
      </c>
      <c r="C141" s="149">
        <f>'Inputs and eligible population'!F108</f>
        <v>0</v>
      </c>
      <c r="D141" s="128" t="e">
        <f>(D$7*'Inputs and eligible population'!#REF!*'Unit costs'!$O$9*'Capacity (local prices) 2nd'!$C141)/60</f>
        <v>#REF!</v>
      </c>
      <c r="E141" s="128" t="e">
        <f>(E$7*'Inputs and eligible population'!#REF!*'Unit costs'!$O$9*'Capacity (local prices) 2nd'!$C141)/60</f>
        <v>#REF!</v>
      </c>
      <c r="F141" s="128" t="e">
        <f>(F$7*'Inputs and eligible population'!#REF!*'Unit costs'!$O$9*'Capacity (local prices) 2nd'!$C141)/60</f>
        <v>#REF!</v>
      </c>
      <c r="G141" s="128" t="e">
        <f>(G$7*'Inputs and eligible population'!#REF!*'Unit costs'!$O$9*'Capacity (local prices) 2nd'!$C141)/60</f>
        <v>#REF!</v>
      </c>
      <c r="H141" s="128" t="e">
        <f>(H$7*'Inputs and eligible population'!#REF!*'Unit costs'!$O$9*'Capacity (local prices) 2nd'!$C141)/60</f>
        <v>#REF!</v>
      </c>
      <c r="I141" s="128" t="e">
        <f>(I$7*'Inputs and eligible population'!#REF!*'Unit costs'!$O$9*'Capacity (local prices) 2nd'!$C141)/60</f>
        <v>#REF!</v>
      </c>
      <c r="J141" s="295"/>
      <c r="K141" s="295"/>
      <c r="L141" s="299" t="e">
        <f>(D141*'Inputs and eligible population'!$P$108)/1000</f>
        <v>#REF!</v>
      </c>
      <c r="M141" s="299" t="e">
        <f>(E141*'Inputs and eligible population'!$P$108)/1000</f>
        <v>#REF!</v>
      </c>
      <c r="N141" s="299" t="e">
        <f>(F141*'Inputs and eligible population'!$P$108)/1000</f>
        <v>#REF!</v>
      </c>
      <c r="O141" s="299" t="e">
        <f>(G141*'Inputs and eligible population'!$P$108)/1000</f>
        <v>#REF!</v>
      </c>
      <c r="P141" s="299" t="e">
        <f>(H141*'Inputs and eligible population'!$P$108)/1000</f>
        <v>#REF!</v>
      </c>
      <c r="Q141" s="299" t="e">
        <f>(I141*'Inputs and eligible population'!$P$108)/1000</f>
        <v>#REF!</v>
      </c>
      <c r="V141" s="133"/>
    </row>
    <row r="142" spans="1:22" hidden="1" x14ac:dyDescent="0.25">
      <c r="A142" s="295"/>
      <c r="B142" s="358" t="s">
        <v>1182</v>
      </c>
      <c r="C142" s="149">
        <f>'Inputs and eligible population'!H108</f>
        <v>0</v>
      </c>
      <c r="D142" s="128" t="e">
        <f>(D$7*'Inputs and eligible population'!#REF!*'Unit costs'!$O$36*'Capacity (local prices) 2nd'!$C142)/60</f>
        <v>#REF!</v>
      </c>
      <c r="E142" s="128" t="e">
        <f>(E$7*'Inputs and eligible population'!#REF!*'Unit costs'!$O$36*'Capacity (local prices) 2nd'!$C142)/60</f>
        <v>#REF!</v>
      </c>
      <c r="F142" s="128" t="e">
        <f>(F$7*'Inputs and eligible population'!#REF!*'Unit costs'!$O$36*'Capacity (local prices) 2nd'!$C142)/60</f>
        <v>#REF!</v>
      </c>
      <c r="G142" s="128" t="e">
        <f>(G$7*'Inputs and eligible population'!#REF!*'Unit costs'!$O$36*'Capacity (local prices) 2nd'!$C142)/60</f>
        <v>#REF!</v>
      </c>
      <c r="H142" s="128" t="e">
        <f>(H$7*'Inputs and eligible population'!#REF!*'Unit costs'!$O$36*'Capacity (local prices) 2nd'!$C142)/60</f>
        <v>#REF!</v>
      </c>
      <c r="I142" s="128" t="e">
        <f>(I$7*'Inputs and eligible population'!#REF!*'Unit costs'!$O$36*'Capacity (local prices) 2nd'!$C142)/60</f>
        <v>#REF!</v>
      </c>
      <c r="J142" s="295"/>
      <c r="K142" s="295"/>
      <c r="L142" s="299" t="e">
        <f>(D142*'Inputs and eligible population'!$P$108)/1000</f>
        <v>#REF!</v>
      </c>
      <c r="M142" s="299" t="e">
        <f>(E142*'Inputs and eligible population'!$P$108)/1000</f>
        <v>#REF!</v>
      </c>
      <c r="N142" s="299" t="e">
        <f>(F142*'Inputs and eligible population'!$P$108)/1000</f>
        <v>#REF!</v>
      </c>
      <c r="O142" s="299" t="e">
        <f>(G142*'Inputs and eligible population'!$P$108)/1000</f>
        <v>#REF!</v>
      </c>
      <c r="P142" s="299" t="e">
        <f>(H142*'Inputs and eligible population'!$P$108)/1000</f>
        <v>#REF!</v>
      </c>
      <c r="Q142" s="299" t="e">
        <f>(I142*'Inputs and eligible population'!$P$108)/1000</f>
        <v>#REF!</v>
      </c>
      <c r="V142" s="133"/>
    </row>
    <row r="143" spans="1:22" hidden="1" x14ac:dyDescent="0.25">
      <c r="A143" s="295"/>
      <c r="B143" s="358" t="s">
        <v>1183</v>
      </c>
      <c r="C143" s="149">
        <f>'Inputs and eligible population'!I108</f>
        <v>0</v>
      </c>
      <c r="D143" s="128" t="e">
        <f>(D$7*'Inputs and eligible population'!#REF!*'Unit costs'!$O$44*'Capacity (local prices) 2nd'!$C143)/60</f>
        <v>#REF!</v>
      </c>
      <c r="E143" s="128" t="e">
        <f>(E$7*'Inputs and eligible population'!#REF!*'Unit costs'!$O$44*'Capacity (local prices) 2nd'!$C143)/60</f>
        <v>#REF!</v>
      </c>
      <c r="F143" s="128" t="e">
        <f>(F$7*'Inputs and eligible population'!#REF!*'Unit costs'!$O$44*'Capacity (local prices) 2nd'!$C143)/60</f>
        <v>#REF!</v>
      </c>
      <c r="G143" s="128" t="e">
        <f>(G$7*'Inputs and eligible population'!#REF!*'Unit costs'!$O$44*'Capacity (local prices) 2nd'!$C143)/60</f>
        <v>#REF!</v>
      </c>
      <c r="H143" s="128" t="e">
        <f>(H$7*'Inputs and eligible population'!#REF!*'Unit costs'!$O$44*'Capacity (local prices) 2nd'!$C143)/60</f>
        <v>#REF!</v>
      </c>
      <c r="I143" s="128" t="e">
        <f>(I$7*'Inputs and eligible population'!#REF!*'Unit costs'!$O$44*'Capacity (local prices) 2nd'!$C143)/60</f>
        <v>#REF!</v>
      </c>
      <c r="J143" s="295"/>
      <c r="K143" s="295"/>
      <c r="L143" s="299" t="e">
        <f>(D143*'Inputs and eligible population'!$P$108)/1000</f>
        <v>#REF!</v>
      </c>
      <c r="M143" s="299" t="e">
        <f>(E143*'Inputs and eligible population'!$P$108)/1000</f>
        <v>#REF!</v>
      </c>
      <c r="N143" s="299" t="e">
        <f>(F143*'Inputs and eligible population'!$P$108)/1000</f>
        <v>#REF!</v>
      </c>
      <c r="O143" s="299" t="e">
        <f>(G143*'Inputs and eligible population'!$P$108)/1000</f>
        <v>#REF!</v>
      </c>
      <c r="P143" s="299" t="e">
        <f>(H143*'Inputs and eligible population'!$P$108)/1000</f>
        <v>#REF!</v>
      </c>
      <c r="Q143" s="299" t="e">
        <f>(I143*'Inputs and eligible population'!$P$108)/1000</f>
        <v>#REF!</v>
      </c>
      <c r="V143" s="133"/>
    </row>
    <row r="144" spans="1:22" hidden="1" x14ac:dyDescent="0.25">
      <c r="A144" s="295"/>
      <c r="B144" s="289"/>
      <c r="C144" s="209"/>
      <c r="D144" s="187" t="e">
        <f t="shared" ref="D144:I144" si="67">SUM(D141:D143)</f>
        <v>#REF!</v>
      </c>
      <c r="E144" s="187" t="e">
        <f t="shared" si="67"/>
        <v>#REF!</v>
      </c>
      <c r="F144" s="187" t="e">
        <f t="shared" si="67"/>
        <v>#REF!</v>
      </c>
      <c r="G144" s="187" t="e">
        <f t="shared" si="67"/>
        <v>#REF!</v>
      </c>
      <c r="H144" s="187" t="e">
        <f t="shared" si="67"/>
        <v>#REF!</v>
      </c>
      <c r="I144" s="187" t="e">
        <f t="shared" si="67"/>
        <v>#REF!</v>
      </c>
      <c r="J144" s="295"/>
      <c r="K144" s="295"/>
      <c r="L144" s="300" t="e">
        <f t="shared" ref="L144:Q144" si="68">SUM(L141:L143)</f>
        <v>#REF!</v>
      </c>
      <c r="M144" s="300" t="e">
        <f t="shared" si="68"/>
        <v>#REF!</v>
      </c>
      <c r="N144" s="300" t="e">
        <f t="shared" si="68"/>
        <v>#REF!</v>
      </c>
      <c r="O144" s="300" t="e">
        <f t="shared" si="68"/>
        <v>#REF!</v>
      </c>
      <c r="P144" s="300" t="e">
        <f t="shared" si="68"/>
        <v>#REF!</v>
      </c>
      <c r="Q144" s="300" t="e">
        <f t="shared" si="68"/>
        <v>#REF!</v>
      </c>
      <c r="V144" s="133"/>
    </row>
    <row r="145" spans="1:40" hidden="1" x14ac:dyDescent="0.25">
      <c r="A145" s="295"/>
      <c r="B145" s="312"/>
      <c r="C145" s="227"/>
      <c r="D145" s="291" t="s">
        <v>187</v>
      </c>
      <c r="E145" s="187" t="e">
        <f>E144-$D$144</f>
        <v>#REF!</v>
      </c>
      <c r="F145" s="187" t="e">
        <f>F144-$D$144</f>
        <v>#REF!</v>
      </c>
      <c r="G145" s="187" t="e">
        <f>G144-$D$144</f>
        <v>#REF!</v>
      </c>
      <c r="H145" s="187" t="e">
        <f>H144-$D$144</f>
        <v>#REF!</v>
      </c>
      <c r="I145" s="187" t="e">
        <f>I144-$D$144</f>
        <v>#REF!</v>
      </c>
      <c r="J145" s="295"/>
      <c r="K145" s="295"/>
      <c r="L145" s="590"/>
      <c r="M145" s="300" t="e">
        <f>M144-$L$144</f>
        <v>#REF!</v>
      </c>
      <c r="N145" s="300" t="e">
        <f>N144-$L$144</f>
        <v>#REF!</v>
      </c>
      <c r="O145" s="300" t="e">
        <f>O144-$L$144</f>
        <v>#REF!</v>
      </c>
      <c r="P145" s="300" t="e">
        <f>P144-$L$144</f>
        <v>#REF!</v>
      </c>
      <c r="Q145" s="300" t="e">
        <f>Q144-$L$144</f>
        <v>#REF!</v>
      </c>
      <c r="V145" s="133"/>
    </row>
    <row r="146" spans="1:40" hidden="1" x14ac:dyDescent="0.25">
      <c r="A146" s="295"/>
      <c r="B146" s="333"/>
      <c r="C146" s="404"/>
      <c r="D146" s="223"/>
      <c r="E146" s="223"/>
      <c r="F146" s="223"/>
      <c r="G146" s="223"/>
      <c r="H146" s="317"/>
      <c r="I146" s="317"/>
      <c r="J146" s="295"/>
      <c r="K146" s="295"/>
      <c r="L146" s="223"/>
      <c r="M146" s="223"/>
      <c r="N146" s="295"/>
      <c r="O146" s="223"/>
      <c r="P146" s="223"/>
      <c r="Q146" s="223"/>
      <c r="V146" s="133"/>
    </row>
    <row r="147" spans="1:40" x14ac:dyDescent="0.25">
      <c r="A147" s="295"/>
      <c r="B147" s="403" t="s">
        <v>1315</v>
      </c>
      <c r="C147" s="404"/>
      <c r="D147" s="404"/>
      <c r="E147" s="404"/>
      <c r="F147" s="404"/>
      <c r="G147" s="404"/>
      <c r="H147" s="404"/>
      <c r="I147" s="222"/>
      <c r="J147" s="295"/>
      <c r="K147" s="295"/>
      <c r="L147" s="295"/>
      <c r="M147" s="295"/>
      <c r="N147" s="295"/>
      <c r="O147" s="295"/>
      <c r="P147" s="295"/>
      <c r="Q147" s="295"/>
      <c r="V147" s="133"/>
    </row>
    <row r="148" spans="1:40" ht="45" x14ac:dyDescent="0.25">
      <c r="A148" s="295"/>
      <c r="B148" s="285" t="s">
        <v>131</v>
      </c>
      <c r="C148" s="166" t="s">
        <v>96</v>
      </c>
      <c r="D148" s="434" t="s">
        <v>743</v>
      </c>
      <c r="E148" s="261" t="s">
        <v>51</v>
      </c>
      <c r="F148" s="261" t="s">
        <v>52</v>
      </c>
      <c r="G148" s="165" t="s">
        <v>744</v>
      </c>
      <c r="H148" s="165" t="s">
        <v>745</v>
      </c>
      <c r="I148" s="261" t="s">
        <v>746</v>
      </c>
      <c r="J148" s="295"/>
      <c r="K148" s="746" t="s">
        <v>1252</v>
      </c>
      <c r="L148" s="434" t="s">
        <v>743</v>
      </c>
      <c r="M148" s="261" t="s">
        <v>51</v>
      </c>
      <c r="N148" s="261" t="s">
        <v>52</v>
      </c>
      <c r="O148" s="165" t="s">
        <v>744</v>
      </c>
      <c r="P148" s="165" t="s">
        <v>745</v>
      </c>
      <c r="Q148" s="261" t="s">
        <v>746</v>
      </c>
      <c r="V148" s="133"/>
    </row>
    <row r="149" spans="1:40" x14ac:dyDescent="0.25">
      <c r="A149" s="295"/>
      <c r="B149" s="358" t="s">
        <v>1247</v>
      </c>
      <c r="C149" s="149">
        <f>'Inputs and eligible population'!F109</f>
        <v>0</v>
      </c>
      <c r="D149" s="128">
        <f>($C149*'Financial impact (cash)'!D14)/60</f>
        <v>0</v>
      </c>
      <c r="E149" s="128">
        <f>($C149*'Financial impact (cash)'!E14)/60</f>
        <v>0</v>
      </c>
      <c r="F149" s="128">
        <f>($C149*'Financial impact (cash)'!F14)/60</f>
        <v>0</v>
      </c>
      <c r="G149" s="128">
        <f>($C149*'Financial impact (cash)'!G14)/60</f>
        <v>0</v>
      </c>
      <c r="H149" s="128">
        <f>($C149*'Financial impact (cash)'!H14)/60</f>
        <v>0</v>
      </c>
      <c r="I149" s="128">
        <f>($C149*'Financial impact (cash)'!I14)/60</f>
        <v>0</v>
      </c>
      <c r="J149" s="295"/>
      <c r="K149" s="747">
        <f>'Inputs and eligible population'!$Q$109</f>
        <v>43.28</v>
      </c>
      <c r="L149" s="299">
        <f>K149*D149</f>
        <v>0</v>
      </c>
      <c r="M149" s="299">
        <f t="shared" ref="M149:Q149" si="69">L149*E149</f>
        <v>0</v>
      </c>
      <c r="N149" s="299">
        <f t="shared" si="69"/>
        <v>0</v>
      </c>
      <c r="O149" s="299">
        <f t="shared" si="69"/>
        <v>0</v>
      </c>
      <c r="P149" s="299">
        <f t="shared" si="69"/>
        <v>0</v>
      </c>
      <c r="Q149" s="299">
        <f t="shared" si="69"/>
        <v>0</v>
      </c>
      <c r="V149" s="133"/>
    </row>
    <row r="150" spans="1:40" x14ac:dyDescent="0.25">
      <c r="A150" s="295"/>
      <c r="B150" s="358" t="s">
        <v>1249</v>
      </c>
      <c r="C150" s="149">
        <f>'Inputs and eligible population'!G109</f>
        <v>0</v>
      </c>
      <c r="D150" s="128">
        <f>($C150*'Financial impact (cash)'!D15)/60</f>
        <v>0</v>
      </c>
      <c r="E150" s="128">
        <f>($C150*'Financial impact (cash)'!E15)/60</f>
        <v>0</v>
      </c>
      <c r="F150" s="128">
        <f>($C150*'Financial impact (cash)'!F15)/60</f>
        <v>0</v>
      </c>
      <c r="G150" s="128">
        <f>($C150*'Financial impact (cash)'!G15)/60</f>
        <v>0</v>
      </c>
      <c r="H150" s="128">
        <f>($C150*'Financial impact (cash)'!H15)/60</f>
        <v>0</v>
      </c>
      <c r="I150" s="128">
        <f>($C150*'Financial impact (cash)'!I15)/60</f>
        <v>0</v>
      </c>
      <c r="J150" s="295"/>
      <c r="K150" s="747">
        <f>'Inputs and eligible population'!$Q$109</f>
        <v>43.28</v>
      </c>
      <c r="L150" s="299">
        <f t="shared" ref="L150:L153" si="70">K150*D150</f>
        <v>0</v>
      </c>
      <c r="M150" s="299">
        <f t="shared" ref="M150:M153" si="71">L150*E150</f>
        <v>0</v>
      </c>
      <c r="N150" s="299">
        <f t="shared" ref="N150:N153" si="72">M150*F150</f>
        <v>0</v>
      </c>
      <c r="O150" s="299">
        <f t="shared" ref="O150:O153" si="73">N150*G150</f>
        <v>0</v>
      </c>
      <c r="P150" s="299">
        <f t="shared" ref="P150:P153" si="74">O150*H150</f>
        <v>0</v>
      </c>
      <c r="Q150" s="299">
        <f t="shared" ref="Q150:Q153" si="75">P150*I150</f>
        <v>0</v>
      </c>
      <c r="V150" s="133"/>
    </row>
    <row r="151" spans="1:40" x14ac:dyDescent="0.25">
      <c r="A151" s="295"/>
      <c r="B151" s="358" t="s">
        <v>1248</v>
      </c>
      <c r="C151" s="149">
        <f>'Inputs and eligible population'!H109</f>
        <v>0</v>
      </c>
      <c r="D151" s="128">
        <f>($C151*'Financial impact (cash)'!D16)/60</f>
        <v>0</v>
      </c>
      <c r="E151" s="128">
        <f>($C151*'Financial impact (cash)'!E16)/60</f>
        <v>0</v>
      </c>
      <c r="F151" s="128">
        <f>($C151*'Financial impact (cash)'!F16)/60</f>
        <v>0</v>
      </c>
      <c r="G151" s="128">
        <f>($C151*'Financial impact (cash)'!G16)/60</f>
        <v>0</v>
      </c>
      <c r="H151" s="128">
        <f>($C151*'Financial impact (cash)'!H16)/60</f>
        <v>0</v>
      </c>
      <c r="I151" s="128">
        <f>($C151*'Financial impact (cash)'!I16)/60</f>
        <v>0</v>
      </c>
      <c r="J151" s="295"/>
      <c r="K151" s="747">
        <f>'Inputs and eligible population'!$Q$109</f>
        <v>43.28</v>
      </c>
      <c r="L151" s="299">
        <f t="shared" si="70"/>
        <v>0</v>
      </c>
      <c r="M151" s="299">
        <f t="shared" si="71"/>
        <v>0</v>
      </c>
      <c r="N151" s="299">
        <f t="shared" si="72"/>
        <v>0</v>
      </c>
      <c r="O151" s="299">
        <f t="shared" si="73"/>
        <v>0</v>
      </c>
      <c r="P151" s="299">
        <f t="shared" si="74"/>
        <v>0</v>
      </c>
      <c r="Q151" s="299">
        <f t="shared" si="75"/>
        <v>0</v>
      </c>
      <c r="V151" s="133"/>
    </row>
    <row r="152" spans="1:40" x14ac:dyDescent="0.25">
      <c r="A152" s="295"/>
      <c r="B152" s="358" t="s">
        <v>1259</v>
      </c>
      <c r="C152" s="149">
        <f>'Inputs and eligible population'!I109</f>
        <v>0</v>
      </c>
      <c r="D152" s="128">
        <f>($C152*'Financial impact (cash)'!D17)/60</f>
        <v>0</v>
      </c>
      <c r="E152" s="128">
        <f>($C152*'Financial impact (cash)'!E17)/60</f>
        <v>0</v>
      </c>
      <c r="F152" s="128">
        <f>($C152*'Financial impact (cash)'!F17)/60</f>
        <v>0</v>
      </c>
      <c r="G152" s="128">
        <f>($C152*'Financial impact (cash)'!G17)/60</f>
        <v>0</v>
      </c>
      <c r="H152" s="128">
        <f>($C152*'Financial impact (cash)'!H17)/60</f>
        <v>0</v>
      </c>
      <c r="I152" s="128">
        <f>($C152*'Financial impact (cash)'!I17)/60</f>
        <v>0</v>
      </c>
      <c r="J152" s="295"/>
      <c r="K152" s="747">
        <f>'Inputs and eligible population'!$Q$109</f>
        <v>43.28</v>
      </c>
      <c r="L152" s="299">
        <f t="shared" si="70"/>
        <v>0</v>
      </c>
      <c r="M152" s="299">
        <f t="shared" si="71"/>
        <v>0</v>
      </c>
      <c r="N152" s="299">
        <f t="shared" si="72"/>
        <v>0</v>
      </c>
      <c r="O152" s="299">
        <f t="shared" si="73"/>
        <v>0</v>
      </c>
      <c r="P152" s="299">
        <f t="shared" si="74"/>
        <v>0</v>
      </c>
      <c r="Q152" s="299">
        <f t="shared" si="75"/>
        <v>0</v>
      </c>
      <c r="V152" s="133"/>
    </row>
    <row r="153" spans="1:40" x14ac:dyDescent="0.25">
      <c r="A153" s="295"/>
      <c r="B153" s="358" t="s">
        <v>1250</v>
      </c>
      <c r="C153" s="149">
        <f>'Inputs and eligible population'!J109</f>
        <v>0</v>
      </c>
      <c r="D153" s="128">
        <f>($C153*'Financial impact (cash)'!D18)/60</f>
        <v>0</v>
      </c>
      <c r="E153" s="128">
        <f>($C153*'Financial impact (cash)'!E18)/60</f>
        <v>0</v>
      </c>
      <c r="F153" s="128">
        <f>($C153*'Financial impact (cash)'!F18)/60</f>
        <v>0</v>
      </c>
      <c r="G153" s="128">
        <f>($C153*'Financial impact (cash)'!G18)/60</f>
        <v>0</v>
      </c>
      <c r="H153" s="128">
        <f>($C153*'Financial impact (cash)'!H18)/60</f>
        <v>0</v>
      </c>
      <c r="I153" s="128">
        <f>($C153*'Financial impact (cash)'!I18)/60</f>
        <v>0</v>
      </c>
      <c r="J153" s="295"/>
      <c r="K153" s="747">
        <f>'Inputs and eligible population'!$Q$109</f>
        <v>43.28</v>
      </c>
      <c r="L153" s="299">
        <f t="shared" si="70"/>
        <v>0</v>
      </c>
      <c r="M153" s="299">
        <f t="shared" si="71"/>
        <v>0</v>
      </c>
      <c r="N153" s="299">
        <f t="shared" si="72"/>
        <v>0</v>
      </c>
      <c r="O153" s="299">
        <f t="shared" si="73"/>
        <v>0</v>
      </c>
      <c r="P153" s="299">
        <f t="shared" si="74"/>
        <v>0</v>
      </c>
      <c r="Q153" s="299">
        <f t="shared" si="75"/>
        <v>0</v>
      </c>
      <c r="V153" s="133"/>
    </row>
    <row r="154" spans="1:40" x14ac:dyDescent="0.25">
      <c r="A154" s="295"/>
      <c r="B154" s="289"/>
      <c r="C154" s="209"/>
      <c r="D154" s="187">
        <f>SUM(D149:D153)</f>
        <v>0</v>
      </c>
      <c r="E154" s="187">
        <f t="shared" ref="E154:I154" si="76">SUM(E149:E153)</f>
        <v>0</v>
      </c>
      <c r="F154" s="187">
        <f t="shared" si="76"/>
        <v>0</v>
      </c>
      <c r="G154" s="187">
        <f t="shared" si="76"/>
        <v>0</v>
      </c>
      <c r="H154" s="187">
        <f t="shared" si="76"/>
        <v>0</v>
      </c>
      <c r="I154" s="187">
        <f t="shared" si="76"/>
        <v>0</v>
      </c>
      <c r="J154" s="295"/>
      <c r="K154" s="295"/>
      <c r="L154" s="300">
        <f>SUM(L149:L153)</f>
        <v>0</v>
      </c>
      <c r="M154" s="300">
        <f t="shared" ref="M154:Q154" si="77">SUM(M149:M153)</f>
        <v>0</v>
      </c>
      <c r="N154" s="300">
        <f t="shared" si="77"/>
        <v>0</v>
      </c>
      <c r="O154" s="300">
        <f t="shared" si="77"/>
        <v>0</v>
      </c>
      <c r="P154" s="300">
        <f t="shared" si="77"/>
        <v>0</v>
      </c>
      <c r="Q154" s="300">
        <f t="shared" si="77"/>
        <v>0</v>
      </c>
      <c r="V154" s="133"/>
    </row>
    <row r="155" spans="1:40" x14ac:dyDescent="0.25">
      <c r="A155" s="295"/>
      <c r="B155" s="312"/>
      <c r="C155" s="227"/>
      <c r="D155" s="291" t="s">
        <v>188</v>
      </c>
      <c r="E155" s="187">
        <f>E154-$D$154</f>
        <v>0</v>
      </c>
      <c r="F155" s="187">
        <f>F154-$D$154</f>
        <v>0</v>
      </c>
      <c r="G155" s="187">
        <f>G154-$D$154</f>
        <v>0</v>
      </c>
      <c r="H155" s="187">
        <f>H154-$D$154</f>
        <v>0</v>
      </c>
      <c r="I155" s="187">
        <f>I154-$D$154</f>
        <v>0</v>
      </c>
      <c r="J155" s="295"/>
      <c r="K155" s="295"/>
      <c r="L155" s="590"/>
      <c r="M155" s="300">
        <f>M154-$L$154</f>
        <v>0</v>
      </c>
      <c r="N155" s="300">
        <f>N154-$L$154</f>
        <v>0</v>
      </c>
      <c r="O155" s="300">
        <f>O154-$L$154</f>
        <v>0</v>
      </c>
      <c r="P155" s="300">
        <f>P154-$L$154</f>
        <v>0</v>
      </c>
      <c r="Q155" s="300">
        <f>Q154-$L$154</f>
        <v>0</v>
      </c>
      <c r="V155" s="133"/>
    </row>
    <row r="156" spans="1:40" x14ac:dyDescent="0.25">
      <c r="A156" s="295"/>
      <c r="B156" s="333"/>
      <c r="C156" s="404"/>
      <c r="D156" s="223"/>
      <c r="E156" s="223"/>
      <c r="F156" s="223"/>
      <c r="G156" s="223"/>
      <c r="H156" s="223"/>
      <c r="I156" s="223"/>
      <c r="J156" s="223"/>
      <c r="K156" s="223"/>
      <c r="L156" s="223"/>
      <c r="M156" s="223"/>
      <c r="N156" s="223"/>
      <c r="O156" s="223"/>
      <c r="P156" s="223"/>
      <c r="Q156" s="223"/>
      <c r="R156" s="133"/>
      <c r="S156" s="133"/>
      <c r="T156" s="133"/>
      <c r="U156" s="133"/>
      <c r="V156" s="133"/>
      <c r="W156" s="133"/>
      <c r="X156" s="133"/>
      <c r="Y156" s="133"/>
      <c r="Z156" s="133"/>
      <c r="AJ156" s="292"/>
      <c r="AK156" s="292"/>
      <c r="AL156" s="292"/>
      <c r="AM156" s="292"/>
      <c r="AN156" s="292"/>
    </row>
    <row r="157" spans="1:40" x14ac:dyDescent="0.25">
      <c r="A157" s="338"/>
      <c r="B157" s="339" t="s">
        <v>774</v>
      </c>
      <c r="C157" s="340"/>
      <c r="D157" s="340"/>
      <c r="E157" s="341"/>
      <c r="F157" s="342"/>
      <c r="G157" s="343"/>
      <c r="H157" s="343"/>
      <c r="I157" s="397"/>
      <c r="J157" s="338"/>
      <c r="K157" s="338"/>
      <c r="L157" s="338"/>
      <c r="M157" s="338"/>
      <c r="N157" s="338"/>
      <c r="O157" s="338"/>
      <c r="P157" s="338"/>
      <c r="Q157" s="418"/>
      <c r="R157" s="133"/>
      <c r="S157" s="133"/>
      <c r="T157" s="133"/>
      <c r="U157" s="133"/>
      <c r="V157" s="133"/>
      <c r="W157" s="133"/>
      <c r="X157" s="133"/>
      <c r="Y157" s="133"/>
      <c r="Z157" s="133"/>
      <c r="AJ157" s="292"/>
      <c r="AK157" s="292"/>
      <c r="AL157" s="292"/>
      <c r="AM157" s="292"/>
      <c r="AN157" s="292"/>
    </row>
    <row r="158" spans="1:40" x14ac:dyDescent="0.25">
      <c r="A158" s="338"/>
      <c r="B158" s="407" t="s">
        <v>100</v>
      </c>
      <c r="C158" s="408"/>
      <c r="D158" s="408"/>
      <c r="E158" s="408"/>
      <c r="F158" s="408"/>
      <c r="G158" s="408"/>
      <c r="H158" s="408"/>
      <c r="I158" s="344"/>
      <c r="J158" s="418"/>
      <c r="K158" s="418"/>
      <c r="L158" s="446"/>
      <c r="M158" s="446"/>
      <c r="N158" s="446"/>
      <c r="O158" s="446"/>
      <c r="P158" s="446"/>
      <c r="Q158" s="446"/>
      <c r="R158" s="133"/>
      <c r="S158" s="133"/>
      <c r="T158" s="133"/>
      <c r="U158" s="133"/>
      <c r="V158" s="133"/>
      <c r="W158" s="133"/>
      <c r="X158" s="133"/>
      <c r="Y158" s="133"/>
      <c r="Z158" s="133"/>
      <c r="AJ158" s="292"/>
      <c r="AK158" s="292"/>
      <c r="AL158" s="292"/>
      <c r="AM158" s="292"/>
      <c r="AN158" s="292"/>
    </row>
    <row r="159" spans="1:40" ht="45" x14ac:dyDescent="0.25">
      <c r="A159" s="338"/>
      <c r="B159" s="285" t="s">
        <v>131</v>
      </c>
      <c r="C159" s="166" t="s">
        <v>100</v>
      </c>
      <c r="D159" s="434" t="s">
        <v>743</v>
      </c>
      <c r="E159" s="261" t="s">
        <v>51</v>
      </c>
      <c r="F159" s="261" t="s">
        <v>52</v>
      </c>
      <c r="G159" s="165" t="s">
        <v>744</v>
      </c>
      <c r="H159" s="165" t="s">
        <v>745</v>
      </c>
      <c r="I159" s="261" t="s">
        <v>746</v>
      </c>
      <c r="J159" s="338"/>
      <c r="K159" s="746" t="s">
        <v>1252</v>
      </c>
      <c r="L159" s="434" t="s">
        <v>743</v>
      </c>
      <c r="M159" s="261" t="s">
        <v>51</v>
      </c>
      <c r="N159" s="261" t="s">
        <v>52</v>
      </c>
      <c r="O159" s="165" t="s">
        <v>744</v>
      </c>
      <c r="P159" s="165" t="s">
        <v>745</v>
      </c>
      <c r="Q159" s="261" t="s">
        <v>746</v>
      </c>
      <c r="R159" s="133"/>
      <c r="S159" s="133"/>
      <c r="T159" s="133"/>
      <c r="U159" s="133"/>
      <c r="V159" s="133"/>
      <c r="W159" s="133"/>
      <c r="X159" s="133"/>
      <c r="Y159" s="133"/>
      <c r="Z159" s="133"/>
      <c r="AJ159" s="292"/>
      <c r="AK159" s="292"/>
      <c r="AL159" s="292"/>
      <c r="AM159" s="292"/>
      <c r="AN159" s="292"/>
    </row>
    <row r="160" spans="1:40" x14ac:dyDescent="0.25">
      <c r="A160" s="338"/>
      <c r="B160" s="358" t="s">
        <v>1247</v>
      </c>
      <c r="C160" s="149">
        <f>'Inputs and eligible population'!F110</f>
        <v>0</v>
      </c>
      <c r="D160" s="128">
        <f>'Financial impact (cash)'!D14*'Capacity (local prices) 2nd'!$C160</f>
        <v>0</v>
      </c>
      <c r="E160" s="128">
        <f>'Financial impact (cash)'!E14*'Capacity (local prices) 2nd'!$C160</f>
        <v>0</v>
      </c>
      <c r="F160" s="128">
        <f>'Financial impact (cash)'!F14*'Capacity (local prices) 2nd'!$C160</f>
        <v>0</v>
      </c>
      <c r="G160" s="128">
        <f>'Financial impact (cash)'!G14*'Capacity (local prices) 2nd'!$C160</f>
        <v>0</v>
      </c>
      <c r="H160" s="128">
        <f>'Financial impact (cash)'!H14*'Capacity (local prices) 2nd'!$C160</f>
        <v>0</v>
      </c>
      <c r="I160" s="128">
        <f>'Financial impact (cash)'!I14*'Capacity (local prices) 2nd'!$C160</f>
        <v>0</v>
      </c>
      <c r="J160" s="338"/>
      <c r="K160" s="747">
        <f>'Inputs and eligible population'!$Q$111</f>
        <v>103.07</v>
      </c>
      <c r="L160" s="299">
        <f>(D160*'Inputs and eligible population'!$F$111/60*'Inputs and eligible population'!$Q$111)/1000</f>
        <v>0</v>
      </c>
      <c r="M160" s="299">
        <f>(E160*'Inputs and eligible population'!$F$111/60*'Inputs and eligible population'!$Q$111)/1000</f>
        <v>0</v>
      </c>
      <c r="N160" s="299">
        <f>(F160*'Inputs and eligible population'!$F$111/60*'Inputs and eligible population'!$Q$111)/1000</f>
        <v>0</v>
      </c>
      <c r="O160" s="299">
        <f>(G160*'Inputs and eligible population'!$F$111/60*'Inputs and eligible population'!$Q$111)/1000</f>
        <v>0</v>
      </c>
      <c r="P160" s="299">
        <f>(H160*'Inputs and eligible population'!$F$111/60*'Inputs and eligible population'!$Q$111)/1000</f>
        <v>0</v>
      </c>
      <c r="Q160" s="299">
        <f>(I160*'Inputs and eligible population'!$F$111/60*'Inputs and eligible population'!$Q$111)/1000</f>
        <v>0</v>
      </c>
      <c r="R160" s="133"/>
      <c r="S160" s="133"/>
      <c r="T160" s="133"/>
      <c r="U160" s="133"/>
      <c r="V160" s="133"/>
      <c r="W160" s="133"/>
      <c r="X160" s="133"/>
      <c r="Y160" s="133"/>
      <c r="Z160" s="133"/>
      <c r="AJ160" s="292"/>
      <c r="AK160" s="292"/>
      <c r="AL160" s="292"/>
      <c r="AM160" s="292"/>
      <c r="AN160" s="292"/>
    </row>
    <row r="161" spans="1:40" x14ac:dyDescent="0.25">
      <c r="A161" s="338"/>
      <c r="B161" s="358" t="s">
        <v>1249</v>
      </c>
      <c r="C161" s="149">
        <f>'Inputs and eligible population'!G110</f>
        <v>0</v>
      </c>
      <c r="D161" s="128">
        <f>'Financial impact (cash)'!D15*'Capacity (local prices) 2nd'!$C161</f>
        <v>0</v>
      </c>
      <c r="E161" s="128">
        <f>'Financial impact (cash)'!E15*'Capacity (local prices) 2nd'!$C161</f>
        <v>0</v>
      </c>
      <c r="F161" s="128">
        <f>'Financial impact (cash)'!F15*'Capacity (local prices) 2nd'!$C161</f>
        <v>0</v>
      </c>
      <c r="G161" s="128">
        <f>'Financial impact (cash)'!G15*'Capacity (local prices) 2nd'!$C161</f>
        <v>0</v>
      </c>
      <c r="H161" s="128">
        <f>'Financial impact (cash)'!H15*'Capacity (local prices) 2nd'!$C161</f>
        <v>0</v>
      </c>
      <c r="I161" s="128">
        <f>'Financial impact (cash)'!I15*'Capacity (local prices) 2nd'!$C161</f>
        <v>0</v>
      </c>
      <c r="J161" s="338"/>
      <c r="K161" s="747">
        <f>'Inputs and eligible population'!$Q$111</f>
        <v>103.07</v>
      </c>
      <c r="L161" s="299">
        <f>(D161*'Inputs and eligible population'!$G$111/60*'Inputs and eligible population'!$Q$111)/1000</f>
        <v>0</v>
      </c>
      <c r="M161" s="299">
        <f>(E161*'Inputs and eligible population'!$G$111/60*'Inputs and eligible population'!$Q$111)/1000</f>
        <v>0</v>
      </c>
      <c r="N161" s="299">
        <f>(F161*'Inputs and eligible population'!$G$111/60*'Inputs and eligible population'!$Q$111)/1000</f>
        <v>0</v>
      </c>
      <c r="O161" s="299">
        <f>(G161*'Inputs and eligible population'!$G$111/60*'Inputs and eligible population'!$Q$111)/1000</f>
        <v>0</v>
      </c>
      <c r="P161" s="299">
        <f>(H161*'Inputs and eligible population'!$G$111/60*'Inputs and eligible population'!$Q$111)/1000</f>
        <v>0</v>
      </c>
      <c r="Q161" s="299">
        <f>(I161*'Inputs and eligible population'!$G$111/60*'Inputs and eligible population'!$Q$111)/1000</f>
        <v>0</v>
      </c>
      <c r="R161" s="133"/>
      <c r="S161" s="133"/>
      <c r="T161" s="133"/>
      <c r="U161" s="133"/>
      <c r="V161" s="133"/>
      <c r="W161" s="133"/>
      <c r="X161" s="133"/>
      <c r="Y161" s="133"/>
      <c r="Z161" s="133"/>
      <c r="AJ161" s="292"/>
      <c r="AK161" s="292"/>
      <c r="AL161" s="292"/>
      <c r="AM161" s="292"/>
      <c r="AN161" s="292"/>
    </row>
    <row r="162" spans="1:40" x14ac:dyDescent="0.25">
      <c r="A162" s="338"/>
      <c r="B162" s="358" t="s">
        <v>1248</v>
      </c>
      <c r="C162" s="149">
        <f>'Inputs and eligible population'!H110</f>
        <v>0</v>
      </c>
      <c r="D162" s="128">
        <f>'Financial impact (cash)'!D16*'Capacity (local prices) 2nd'!$C162</f>
        <v>0</v>
      </c>
      <c r="E162" s="128">
        <f>'Financial impact (cash)'!E16*'Capacity (local prices) 2nd'!$C162</f>
        <v>0</v>
      </c>
      <c r="F162" s="128">
        <f>'Financial impact (cash)'!F16*'Capacity (local prices) 2nd'!$C162</f>
        <v>0</v>
      </c>
      <c r="G162" s="128">
        <f>'Financial impact (cash)'!G16*'Capacity (local prices) 2nd'!$C162</f>
        <v>0</v>
      </c>
      <c r="H162" s="128">
        <f>'Financial impact (cash)'!H16*'Capacity (local prices) 2nd'!$C162</f>
        <v>0</v>
      </c>
      <c r="I162" s="128">
        <f>'Financial impact (cash)'!I16*'Capacity (local prices) 2nd'!$C162</f>
        <v>0</v>
      </c>
      <c r="J162" s="338"/>
      <c r="K162" s="747">
        <f>'Inputs and eligible population'!$Q$111</f>
        <v>103.07</v>
      </c>
      <c r="L162" s="299">
        <f>(D162*'Inputs and eligible population'!$H$111/60*'Inputs and eligible population'!$Q$111)/1000</f>
        <v>0</v>
      </c>
      <c r="M162" s="299">
        <f>(E162*'Inputs and eligible population'!$H$111/60*'Inputs and eligible population'!$Q$111)/1000</f>
        <v>0</v>
      </c>
      <c r="N162" s="299">
        <f>(F162*'Inputs and eligible population'!$H$111/60*'Inputs and eligible population'!$Q$111)/1000</f>
        <v>0</v>
      </c>
      <c r="O162" s="299">
        <f>(G162*'Inputs and eligible population'!$H$111/60*'Inputs and eligible population'!$Q$111)/1000</f>
        <v>0</v>
      </c>
      <c r="P162" s="299">
        <f>(H162*'Inputs and eligible population'!$H$111/60*'Inputs and eligible population'!$Q$111)/1000</f>
        <v>0</v>
      </c>
      <c r="Q162" s="299">
        <f>(I162*'Inputs and eligible population'!$H$111/60*'Inputs and eligible population'!$Q$111)/1000</f>
        <v>0</v>
      </c>
      <c r="R162" s="133"/>
      <c r="S162" s="133"/>
      <c r="T162" s="133"/>
      <c r="U162" s="133"/>
      <c r="V162" s="133"/>
      <c r="W162" s="133"/>
      <c r="X162" s="133"/>
      <c r="Y162" s="133"/>
      <c r="Z162" s="133"/>
      <c r="AJ162" s="292"/>
      <c r="AK162" s="292"/>
      <c r="AL162" s="292"/>
      <c r="AM162" s="292"/>
      <c r="AN162" s="292"/>
    </row>
    <row r="163" spans="1:40" x14ac:dyDescent="0.25">
      <c r="A163" s="338"/>
      <c r="B163" s="358" t="s">
        <v>1259</v>
      </c>
      <c r="C163" s="149">
        <f>'Inputs and eligible population'!I110</f>
        <v>0</v>
      </c>
      <c r="D163" s="128">
        <f>'Financial impact (cash)'!D17*'Capacity (local prices) 2nd'!$C163</f>
        <v>0</v>
      </c>
      <c r="E163" s="128">
        <f>'Financial impact (cash)'!E17*'Capacity (local prices) 2nd'!$C163</f>
        <v>0</v>
      </c>
      <c r="F163" s="128">
        <f>'Financial impact (cash)'!F17*'Capacity (local prices) 2nd'!$C163</f>
        <v>0</v>
      </c>
      <c r="G163" s="128">
        <f>'Financial impact (cash)'!G17*'Capacity (local prices) 2nd'!$C163</f>
        <v>0</v>
      </c>
      <c r="H163" s="128">
        <f>'Financial impact (cash)'!H17*'Capacity (local prices) 2nd'!$C163</f>
        <v>0</v>
      </c>
      <c r="I163" s="128">
        <f>'Financial impact (cash)'!I17*'Capacity (local prices) 2nd'!$C163</f>
        <v>0</v>
      </c>
      <c r="J163" s="338"/>
      <c r="K163" s="747">
        <f>'Inputs and eligible population'!$Q$111</f>
        <v>103.07</v>
      </c>
      <c r="L163" s="299">
        <f>(D163*'Inputs and eligible population'!$I$111/60*'Inputs and eligible population'!$Q$111)/1000</f>
        <v>0</v>
      </c>
      <c r="M163" s="299">
        <f>(E163*'Inputs and eligible population'!$I$111/60*'Inputs and eligible population'!$Q$111)/1000</f>
        <v>0</v>
      </c>
      <c r="N163" s="299">
        <f>(F163*'Inputs and eligible population'!$I$111/60*'Inputs and eligible population'!$Q$111)/1000</f>
        <v>0</v>
      </c>
      <c r="O163" s="299">
        <f>(G163*'Inputs and eligible population'!$I$111/60*'Inputs and eligible population'!$Q$111)/1000</f>
        <v>0</v>
      </c>
      <c r="P163" s="299">
        <f>(H163*'Inputs and eligible population'!$I$111/60*'Inputs and eligible population'!$Q$111)/1000</f>
        <v>0</v>
      </c>
      <c r="Q163" s="299">
        <f>(I163*'Inputs and eligible population'!$I$111/60*'Inputs and eligible population'!$Q$111)/1000</f>
        <v>0</v>
      </c>
      <c r="R163" s="133"/>
      <c r="S163" s="133"/>
      <c r="T163" s="133"/>
      <c r="U163" s="133"/>
      <c r="V163" s="133"/>
      <c r="W163" s="133"/>
      <c r="X163" s="133"/>
      <c r="Y163" s="133"/>
      <c r="Z163" s="133"/>
      <c r="AJ163" s="292"/>
      <c r="AK163" s="292"/>
      <c r="AL163" s="292"/>
      <c r="AM163" s="292"/>
      <c r="AN163" s="292"/>
    </row>
    <row r="164" spans="1:40" x14ac:dyDescent="0.25">
      <c r="A164" s="338"/>
      <c r="B164" s="358" t="s">
        <v>1250</v>
      </c>
      <c r="C164" s="149">
        <f>'Inputs and eligible population'!J110</f>
        <v>0</v>
      </c>
      <c r="D164" s="128">
        <f>'Financial impact (cash)'!D18*'Capacity (local prices) 2nd'!$C164</f>
        <v>0</v>
      </c>
      <c r="E164" s="128">
        <f>'Financial impact (cash)'!E18*'Capacity (local prices) 2nd'!$C164</f>
        <v>0</v>
      </c>
      <c r="F164" s="128">
        <f>'Financial impact (cash)'!F18*'Capacity (local prices) 2nd'!$C164</f>
        <v>0</v>
      </c>
      <c r="G164" s="128">
        <f>'Financial impact (cash)'!G18*'Capacity (local prices) 2nd'!$C164</f>
        <v>0</v>
      </c>
      <c r="H164" s="128">
        <f>'Financial impact (cash)'!H18*'Capacity (local prices) 2nd'!$C164</f>
        <v>0</v>
      </c>
      <c r="I164" s="128">
        <f>'Financial impact (cash)'!I18*'Capacity (local prices) 2nd'!$C164</f>
        <v>0</v>
      </c>
      <c r="J164" s="338"/>
      <c r="K164" s="747">
        <f>'Inputs and eligible population'!$Q$111</f>
        <v>103.07</v>
      </c>
      <c r="L164" s="299">
        <f>(D164*'Inputs and eligible population'!$J$111/60*'Inputs and eligible population'!$Q$111)/1000</f>
        <v>0</v>
      </c>
      <c r="M164" s="299">
        <f>(E164*'Inputs and eligible population'!$J$111/60*'Inputs and eligible population'!$Q$111)/1000</f>
        <v>0</v>
      </c>
      <c r="N164" s="299">
        <f>(F164*'Inputs and eligible population'!$J$111/60*'Inputs and eligible population'!$Q$111)/1000</f>
        <v>0</v>
      </c>
      <c r="O164" s="299">
        <f>(G164*'Inputs and eligible population'!$J$111/60*'Inputs and eligible population'!$Q$111)/1000</f>
        <v>0</v>
      </c>
      <c r="P164" s="299">
        <f>(H164*'Inputs and eligible population'!$J$111/60*'Inputs and eligible population'!$Q$111)/1000</f>
        <v>0</v>
      </c>
      <c r="Q164" s="299">
        <f>(I164*'Inputs and eligible population'!$J$111/60*'Inputs and eligible population'!$Q$111)/1000</f>
        <v>0</v>
      </c>
      <c r="R164" s="133"/>
      <c r="S164" s="133"/>
      <c r="T164" s="133"/>
      <c r="U164" s="133"/>
      <c r="V164" s="133"/>
      <c r="W164" s="133"/>
      <c r="X164" s="133"/>
      <c r="Y164" s="133"/>
      <c r="Z164" s="133"/>
      <c r="AJ164" s="292"/>
      <c r="AK164" s="292"/>
      <c r="AL164" s="292"/>
      <c r="AM164" s="292"/>
      <c r="AN164" s="292"/>
    </row>
    <row r="165" spans="1:40" x14ac:dyDescent="0.25">
      <c r="A165" s="338"/>
      <c r="B165" s="289"/>
      <c r="C165" s="209"/>
      <c r="D165" s="187">
        <f>SUM(D160:D164)</f>
        <v>0</v>
      </c>
      <c r="E165" s="187">
        <f t="shared" ref="E165:I165" si="78">SUM(E160:E164)</f>
        <v>0</v>
      </c>
      <c r="F165" s="187">
        <f t="shared" si="78"/>
        <v>0</v>
      </c>
      <c r="G165" s="187">
        <f t="shared" si="78"/>
        <v>0</v>
      </c>
      <c r="H165" s="187">
        <f t="shared" si="78"/>
        <v>0</v>
      </c>
      <c r="I165" s="187">
        <f t="shared" si="78"/>
        <v>0</v>
      </c>
      <c r="J165" s="338"/>
      <c r="K165" s="338"/>
      <c r="L165" s="300">
        <f>SUM(L160:L164)</f>
        <v>0</v>
      </c>
      <c r="M165" s="300">
        <f>SUM(M160:M164)</f>
        <v>0</v>
      </c>
      <c r="N165" s="300">
        <f t="shared" ref="N165:Q165" si="79">SUM(N160:N164)</f>
        <v>0</v>
      </c>
      <c r="O165" s="300">
        <f t="shared" si="79"/>
        <v>0</v>
      </c>
      <c r="P165" s="300">
        <f t="shared" si="79"/>
        <v>0</v>
      </c>
      <c r="Q165" s="300">
        <f t="shared" si="79"/>
        <v>0</v>
      </c>
      <c r="R165" s="133"/>
      <c r="S165" s="133"/>
      <c r="T165" s="133"/>
      <c r="U165" s="133"/>
      <c r="V165" s="133"/>
      <c r="W165" s="133"/>
      <c r="X165" s="133"/>
      <c r="Y165" s="133"/>
      <c r="Z165" s="133"/>
      <c r="AJ165" s="292"/>
      <c r="AK165" s="292"/>
      <c r="AL165" s="292"/>
      <c r="AM165" s="292"/>
      <c r="AN165" s="292"/>
    </row>
    <row r="166" spans="1:40" x14ac:dyDescent="0.25">
      <c r="A166" s="338"/>
      <c r="B166" s="312"/>
      <c r="C166" s="262"/>
      <c r="D166" s="291" t="s">
        <v>775</v>
      </c>
      <c r="E166" s="187">
        <f>E165-$D$165</f>
        <v>0</v>
      </c>
      <c r="F166" s="187">
        <f>F165-$D$165</f>
        <v>0</v>
      </c>
      <c r="G166" s="187">
        <f>G165-$D$165</f>
        <v>0</v>
      </c>
      <c r="H166" s="187">
        <f>H165-$D$165</f>
        <v>0</v>
      </c>
      <c r="I166" s="187">
        <f>I165-$D$165</f>
        <v>0</v>
      </c>
      <c r="J166" s="338"/>
      <c r="K166" s="338"/>
      <c r="L166" s="591"/>
      <c r="M166" s="300">
        <f>M165-$L$165</f>
        <v>0</v>
      </c>
      <c r="N166" s="300">
        <f t="shared" ref="N166:Q166" si="80">N165-$L$165</f>
        <v>0</v>
      </c>
      <c r="O166" s="300">
        <f t="shared" si="80"/>
        <v>0</v>
      </c>
      <c r="P166" s="300">
        <f t="shared" si="80"/>
        <v>0</v>
      </c>
      <c r="Q166" s="300">
        <f t="shared" si="80"/>
        <v>0</v>
      </c>
      <c r="V166" s="133"/>
    </row>
    <row r="167" spans="1:40" x14ac:dyDescent="0.25">
      <c r="A167" s="338"/>
      <c r="B167" s="338"/>
      <c r="C167" s="338"/>
      <c r="D167" s="338"/>
      <c r="E167" s="338"/>
      <c r="F167" s="338"/>
      <c r="G167" s="338"/>
      <c r="H167" s="338"/>
      <c r="I167" s="338"/>
      <c r="J167" s="338"/>
      <c r="K167" s="338"/>
      <c r="L167" s="338"/>
      <c r="M167" s="338"/>
      <c r="N167" s="338"/>
      <c r="O167" s="338"/>
      <c r="P167" s="338"/>
      <c r="Q167" s="338"/>
      <c r="V167" s="133"/>
    </row>
    <row r="168" spans="1:40" x14ac:dyDescent="0.25">
      <c r="A168" s="296"/>
      <c r="B168" s="334" t="s">
        <v>776</v>
      </c>
      <c r="C168" s="318"/>
      <c r="D168" s="319"/>
      <c r="E168" s="320"/>
      <c r="F168" s="321"/>
      <c r="G168" s="321"/>
      <c r="H168" s="321"/>
      <c r="I168" s="447"/>
      <c r="J168" s="296"/>
      <c r="K168" s="296"/>
      <c r="L168" s="296"/>
      <c r="M168" s="296"/>
      <c r="N168" s="296"/>
      <c r="O168" s="296"/>
      <c r="P168" s="296"/>
      <c r="Q168" s="225"/>
      <c r="R168" s="133"/>
      <c r="S168" s="133"/>
      <c r="T168" s="133"/>
      <c r="U168" s="133"/>
      <c r="V168" s="133"/>
      <c r="W168" s="133"/>
      <c r="X168" s="133"/>
      <c r="Y168" s="133"/>
      <c r="Z168" s="133"/>
      <c r="AJ168" s="292"/>
      <c r="AK168" s="292"/>
      <c r="AL168" s="292"/>
      <c r="AM168" s="292"/>
      <c r="AN168" s="292"/>
    </row>
    <row r="169" spans="1:40" x14ac:dyDescent="0.25">
      <c r="A169" s="296"/>
      <c r="B169" s="409" t="s">
        <v>1164</v>
      </c>
      <c r="C169" s="410"/>
      <c r="D169" s="410"/>
      <c r="E169" s="410"/>
      <c r="F169" s="410"/>
      <c r="G169" s="410"/>
      <c r="H169" s="410"/>
      <c r="I169" s="224"/>
      <c r="J169" s="225"/>
      <c r="K169" s="225"/>
      <c r="L169" s="443"/>
      <c r="M169" s="443"/>
      <c r="N169" s="443"/>
      <c r="O169" s="443"/>
      <c r="P169" s="443"/>
      <c r="Q169" s="443"/>
      <c r="R169" s="133"/>
      <c r="S169" s="133"/>
      <c r="T169" s="133"/>
      <c r="U169" s="133"/>
      <c r="V169" s="133"/>
      <c r="W169" s="133"/>
      <c r="X169" s="133"/>
      <c r="Y169" s="133"/>
      <c r="Z169" s="133"/>
      <c r="AJ169" s="292"/>
      <c r="AK169" s="292"/>
      <c r="AL169" s="292"/>
      <c r="AM169" s="292"/>
      <c r="AN169" s="292"/>
    </row>
    <row r="170" spans="1:40" ht="45" x14ac:dyDescent="0.25">
      <c r="A170" s="296"/>
      <c r="B170" s="285" t="s">
        <v>131</v>
      </c>
      <c r="C170" s="166" t="s">
        <v>1164</v>
      </c>
      <c r="D170" s="434" t="s">
        <v>743</v>
      </c>
      <c r="E170" s="261" t="s">
        <v>51</v>
      </c>
      <c r="F170" s="261" t="s">
        <v>52</v>
      </c>
      <c r="G170" s="165" t="s">
        <v>744</v>
      </c>
      <c r="H170" s="165" t="s">
        <v>745</v>
      </c>
      <c r="I170" s="261" t="s">
        <v>746</v>
      </c>
      <c r="J170" s="296"/>
      <c r="K170" s="746" t="s">
        <v>1252</v>
      </c>
      <c r="L170" s="434" t="s">
        <v>743</v>
      </c>
      <c r="M170" s="261" t="s">
        <v>51</v>
      </c>
      <c r="N170" s="261" t="s">
        <v>52</v>
      </c>
      <c r="O170" s="165" t="s">
        <v>744</v>
      </c>
      <c r="P170" s="165" t="s">
        <v>745</v>
      </c>
      <c r="Q170" s="261" t="s">
        <v>746</v>
      </c>
      <c r="R170" s="133"/>
      <c r="S170" s="133"/>
      <c r="T170" s="133"/>
      <c r="U170" s="133"/>
      <c r="V170" s="133"/>
      <c r="W170" s="133"/>
      <c r="X170" s="133"/>
      <c r="Y170" s="133"/>
      <c r="Z170" s="133"/>
      <c r="AJ170" s="292"/>
      <c r="AK170" s="292"/>
      <c r="AL170" s="292"/>
      <c r="AM170" s="292"/>
      <c r="AN170" s="292"/>
    </row>
    <row r="171" spans="1:40" x14ac:dyDescent="0.25">
      <c r="A171" s="296"/>
      <c r="B171" s="358" t="s">
        <v>1247</v>
      </c>
      <c r="C171" s="149">
        <f>'Inputs and eligible population'!F112</f>
        <v>10.92</v>
      </c>
      <c r="D171" s="128">
        <f>D$7*'Inputs and eligible population'!E$70*$C171</f>
        <v>0</v>
      </c>
      <c r="E171" s="128">
        <f>E$7*'Inputs and eligible population'!F$70*$C171</f>
        <v>1301.0064019708245</v>
      </c>
      <c r="F171" s="128">
        <f>F$7*'Inputs and eligible population'!G$70*$C171+(E$7*'Inputs and eligible population'!F$70*('Unit costs'!$O$14/'Unit costs'!$O$9)*$C171)</f>
        <v>3053.897491128469</v>
      </c>
      <c r="G171" s="128">
        <f>G$7*'Inputs and eligible population'!H$70*$C171+(F$7*'Inputs and eligible population'!G$70*('Unit costs'!$O$14/'Unit costs'!$O$9)*$C171)</f>
        <v>4756.2718968542877</v>
      </c>
      <c r="H171" s="128">
        <f>H$7*'Inputs and eligible population'!I$70*$C171+(G$7*'Inputs and eligible population'!H$70*('Unit costs'!$O$14/'Unit costs'!$O$9)*$C171)</f>
        <v>6473.7078320286964</v>
      </c>
      <c r="I171" s="128">
        <f>I$7*'Inputs and eligible population'!J$70*$C171+(H$7*'Inputs and eligible population'!I$70*('Unit costs'!$O$14/'Unit costs'!$O$9)*$C171)</f>
        <v>6750.7755988436593</v>
      </c>
      <c r="J171" s="296"/>
      <c r="K171" s="747">
        <f>'Inputs and eligible population'!$Q$113</f>
        <v>38.99</v>
      </c>
      <c r="L171" s="299">
        <f>(D171*'Inputs and eligible population'!$F$113/60*'Inputs and eligible population'!$Q$113)/1000</f>
        <v>0</v>
      </c>
      <c r="M171" s="299">
        <f>(E171*'Inputs and eligible population'!$F$113/60*'Inputs and eligible population'!$Q$113)/1000</f>
        <v>0</v>
      </c>
      <c r="N171" s="299">
        <f>(F171*'Inputs and eligible population'!$F$113/60*'Inputs and eligible population'!$Q$113)/1000</f>
        <v>0</v>
      </c>
      <c r="O171" s="299">
        <f>(G171*'Inputs and eligible population'!$F$113/60*'Inputs and eligible population'!$Q$113)/1000</f>
        <v>0</v>
      </c>
      <c r="P171" s="299">
        <f>(H171*'Inputs and eligible population'!$F$113/60*'Inputs and eligible population'!$Q$113)/1000</f>
        <v>0</v>
      </c>
      <c r="Q171" s="299">
        <f>(I171*'Inputs and eligible population'!$F$113/60*'Inputs and eligible population'!$Q$113)/1000</f>
        <v>0</v>
      </c>
      <c r="R171" s="133"/>
      <c r="S171" s="133"/>
      <c r="T171" s="133"/>
      <c r="U171" s="133"/>
      <c r="V171" s="133"/>
      <c r="W171" s="133"/>
      <c r="X171" s="133"/>
      <c r="Y171" s="133"/>
      <c r="Z171" s="133"/>
      <c r="AJ171" s="292"/>
      <c r="AK171" s="292"/>
      <c r="AL171" s="292"/>
      <c r="AM171" s="292"/>
      <c r="AN171" s="292"/>
    </row>
    <row r="172" spans="1:40" x14ac:dyDescent="0.25">
      <c r="A172" s="296"/>
      <c r="B172" s="358" t="s">
        <v>1249</v>
      </c>
      <c r="C172" s="149">
        <f>'Inputs and eligible population'!G112</f>
        <v>10.92</v>
      </c>
      <c r="D172" s="128">
        <f>D$7*'Inputs and eligible population'!E$71*$C172+(D$7*'Inputs and eligible population'!E$71*('Unit costs'!$O$33/'Unit costs'!$O$28)*$C172)</f>
        <v>1582.2687219327402</v>
      </c>
      <c r="E172" s="128">
        <f>E$7*'Inputs and eligible population'!F$71*$C172+(D$7*'Inputs and eligible population'!E$71*('Unit costs'!$O$33/'Unit costs'!$O$28)*$C172)</f>
        <v>1947.2490566337913</v>
      </c>
      <c r="F172" s="128">
        <f>F$7*'Inputs and eligible population'!G$71*$C172+(E$7*'Inputs and eligible population'!F$71*('Unit costs'!$O$33/'Unit costs'!$O$28)*$C172)</f>
        <v>3760.718229514262</v>
      </c>
      <c r="G172" s="128">
        <f>G$7*'Inputs and eligible population'!H$71*$C172+(F$7*'Inputs and eligible population'!G$71*('Unit costs'!$O$33/'Unit costs'!$O$28)*$C172)</f>
        <v>6311.4269621678723</v>
      </c>
      <c r="H172" s="128">
        <f>H$7*'Inputs and eligible population'!I$71*$C172+(G$7*'Inputs and eligible population'!H$71*('Unit costs'!$O$33/'Unit costs'!$O$28)*$C172)</f>
        <v>8828.9321885735353</v>
      </c>
      <c r="I172" s="128">
        <f>I$7*'Inputs and eligible population'!J$71*$C172+(H$7*'Inputs and eligible population'!I$71*('Unit costs'!$O$33/'Unit costs'!$O$28)*$C172)</f>
        <v>9921.3529006103254</v>
      </c>
      <c r="J172" s="296"/>
      <c r="K172" s="747">
        <f>'Inputs and eligible population'!$Q$113</f>
        <v>38.99</v>
      </c>
      <c r="L172" s="299">
        <f>(D172*'Inputs and eligible population'!$G$113/60*'Inputs and eligible population'!$Q$113)/1000</f>
        <v>0</v>
      </c>
      <c r="M172" s="299">
        <f>(E172*'Inputs and eligible population'!$G$113/60*'Inputs and eligible population'!$Q$113)/1000</f>
        <v>0</v>
      </c>
      <c r="N172" s="299">
        <f>(F172*'Inputs and eligible population'!$G$113/60*'Inputs and eligible population'!$Q$113)/1000</f>
        <v>0</v>
      </c>
      <c r="O172" s="299">
        <f>(G172*'Inputs and eligible population'!$G$113/60*'Inputs and eligible population'!$Q$113)/1000</f>
        <v>0</v>
      </c>
      <c r="P172" s="299">
        <f>(H172*'Inputs and eligible population'!$G$113/60*'Inputs and eligible population'!$Q$113)/1000</f>
        <v>0</v>
      </c>
      <c r="Q172" s="299">
        <f>(I172*'Inputs and eligible population'!$G$113/60*'Inputs and eligible population'!$Q$113)/1000</f>
        <v>0</v>
      </c>
      <c r="R172" s="133"/>
      <c r="S172" s="133"/>
      <c r="T172" s="133"/>
      <c r="U172" s="133"/>
      <c r="V172" s="133"/>
      <c r="W172" s="133"/>
      <c r="X172" s="133"/>
      <c r="Y172" s="133"/>
      <c r="Z172" s="133"/>
      <c r="AJ172" s="292"/>
      <c r="AK172" s="292"/>
      <c r="AL172" s="292"/>
      <c r="AM172" s="292"/>
      <c r="AN172" s="292"/>
    </row>
    <row r="173" spans="1:40" x14ac:dyDescent="0.25">
      <c r="A173" s="296"/>
      <c r="B173" s="358" t="s">
        <v>1248</v>
      </c>
      <c r="C173" s="149">
        <f>'Inputs and eligible population'!H112</f>
        <v>10.92</v>
      </c>
      <c r="D173" s="128">
        <f>D$7*'Inputs and eligible population'!E$72*$C173</f>
        <v>4563.1270779401457</v>
      </c>
      <c r="E173" s="128">
        <f>E$7*'Inputs and eligible population'!F$72*$C173</f>
        <v>4252.7297267622316</v>
      </c>
      <c r="F173" s="128">
        <f>F$7*'Inputs and eligible population'!G$72*$C173</f>
        <v>3816.6522026522666</v>
      </c>
      <c r="G173" s="128">
        <f>G$7*'Inputs and eligible population'!H$72*$C173</f>
        <v>3371.7701748036429</v>
      </c>
      <c r="H173" s="128">
        <f>H$7*'Inputs and eligible population'!I$72*$C173</f>
        <v>2917.9544002643288</v>
      </c>
      <c r="I173" s="128">
        <f>I$7*'Inputs and eligible population'!J$72*$C173</f>
        <v>2946.0887547802013</v>
      </c>
      <c r="J173" s="296"/>
      <c r="K173" s="747">
        <f>'Inputs and eligible population'!$Q$113</f>
        <v>38.99</v>
      </c>
      <c r="L173" s="299">
        <f>(D173*'Inputs and eligible population'!$H$113/60*'Inputs and eligible population'!$Q$113)/1000</f>
        <v>0</v>
      </c>
      <c r="M173" s="299">
        <f>(E173*'Inputs and eligible population'!$H$113/60*'Inputs and eligible population'!$Q$113)/1000</f>
        <v>0</v>
      </c>
      <c r="N173" s="299">
        <f>(F173*'Inputs and eligible population'!$H$113/60*'Inputs and eligible population'!$Q$113)/1000</f>
        <v>0</v>
      </c>
      <c r="O173" s="299">
        <f>(G173*'Inputs and eligible population'!$H$113/60*'Inputs and eligible population'!$Q$113)/1000</f>
        <v>0</v>
      </c>
      <c r="P173" s="299">
        <f>(H173*'Inputs and eligible population'!$H$113/60*'Inputs and eligible population'!$Q$113)/1000</f>
        <v>0</v>
      </c>
      <c r="Q173" s="299">
        <f>(I173*'Inputs and eligible population'!$H$113/60*'Inputs and eligible population'!$Q$113)/1000</f>
        <v>0</v>
      </c>
      <c r="R173" s="133"/>
      <c r="S173" s="133"/>
      <c r="T173" s="133"/>
      <c r="U173" s="133"/>
      <c r="V173" s="133"/>
      <c r="W173" s="133"/>
      <c r="X173" s="133"/>
      <c r="Y173" s="133"/>
      <c r="Z173" s="133"/>
      <c r="AJ173" s="292"/>
      <c r="AK173" s="292"/>
      <c r="AL173" s="292"/>
      <c r="AM173" s="292"/>
      <c r="AN173" s="292"/>
    </row>
    <row r="174" spans="1:40" x14ac:dyDescent="0.25">
      <c r="A174" s="296"/>
      <c r="B174" s="358" t="s">
        <v>1259</v>
      </c>
      <c r="C174" s="149">
        <f>'Inputs and eligible population'!I112</f>
        <v>10.92</v>
      </c>
      <c r="D174" s="128">
        <f>D$7*'Inputs and eligible population'!E$73*$C174+(D$7*'Inputs and eligible population'!E$73*('Unit costs'!$O$33/'Unit costs'!$O$28)*$C174)</f>
        <v>7515.7764291805161</v>
      </c>
      <c r="E174" s="128">
        <f>E$7*'Inputs and eligible population'!F$73*$C174+(D$7*'Inputs and eligible population'!E$73*('Unit costs'!$O$33/'Unit costs'!$O$28)*$C$174)</f>
        <v>7322.3823364113232</v>
      </c>
      <c r="F174" s="128">
        <f>F$7*'Inputs and eligible population'!G$73*$C174+(E$7*'Inputs and eligible population'!F$73*('Unit costs'!$O$33/'Unit costs'!$O$28)*$C$174)</f>
        <v>6752.7834112661913</v>
      </c>
      <c r="G174" s="128">
        <f>G$7*'Inputs and eligible population'!H$73*$C174+(F$7*'Inputs and eligible population'!G$73*('Unit costs'!$O$33/'Unit costs'!$O$28)*$C$174)</f>
        <v>6006.8286818402757</v>
      </c>
      <c r="H174" s="128">
        <f>H$7*'Inputs and eligible population'!I$73*$C174+(G$7*'Inputs and eligible population'!H$73*('Unit costs'!$O$33/'Unit costs'!$O$28)*$C$174)</f>
        <v>5245.8614798547887</v>
      </c>
      <c r="I174" s="128">
        <f>I$7*'Inputs and eligible population'!J$73*$C174+(H$7*'Inputs and eligible population'!I$73*('Unit costs'!$O$33/'Unit costs'!$O$28)*$C$174)</f>
        <v>4960.6764503051627</v>
      </c>
      <c r="J174" s="296"/>
      <c r="K174" s="747">
        <f>'Inputs and eligible population'!$Q$113</f>
        <v>38.99</v>
      </c>
      <c r="L174" s="299">
        <f>(D174*'Inputs and eligible population'!$I$113/60*'Inputs and eligible population'!$Q$113)/1000</f>
        <v>0</v>
      </c>
      <c r="M174" s="299">
        <f>(E174*'Inputs and eligible population'!$I$113/60*'Inputs and eligible population'!$Q$113)/1000</f>
        <v>0</v>
      </c>
      <c r="N174" s="299">
        <f>(F174*'Inputs and eligible population'!$I$113/60*'Inputs and eligible population'!$Q$113)/1000</f>
        <v>0</v>
      </c>
      <c r="O174" s="299">
        <f>(G174*'Inputs and eligible population'!$I$113/60*'Inputs and eligible population'!$Q$113)/1000</f>
        <v>0</v>
      </c>
      <c r="P174" s="299">
        <f>(H174*'Inputs and eligible population'!$I$113/60*'Inputs and eligible population'!$Q$113)/1000</f>
        <v>0</v>
      </c>
      <c r="Q174" s="299">
        <f>(I174*'Inputs and eligible population'!$I$113/60*'Inputs and eligible population'!$Q$113)/1000</f>
        <v>0</v>
      </c>
      <c r="R174" s="133"/>
      <c r="S174" s="133"/>
      <c r="T174" s="133"/>
      <c r="U174" s="133"/>
      <c r="V174" s="133"/>
      <c r="W174" s="133"/>
      <c r="X174" s="133"/>
      <c r="Y174" s="133"/>
      <c r="Z174" s="133"/>
      <c r="AJ174" s="292"/>
      <c r="AK174" s="292"/>
      <c r="AL174" s="292"/>
      <c r="AM174" s="292"/>
      <c r="AN174" s="292"/>
    </row>
    <row r="175" spans="1:40" x14ac:dyDescent="0.25">
      <c r="A175" s="296"/>
      <c r="B175" s="358" t="s">
        <v>1250</v>
      </c>
      <c r="C175" s="149">
        <f>'Inputs and eligible population'!J112</f>
        <v>10.92</v>
      </c>
      <c r="D175" s="128">
        <f>D$7*'Inputs and eligible population'!E$74*$C175+(D$7*'Inputs and eligible population'!E$74*$C175)</f>
        <v>26910.749434005982</v>
      </c>
      <c r="E175" s="128">
        <f>E$7*'Inputs and eligible population'!F$74*$C175+(D$7*'Inputs and eligible population'!E$74*$C175)</f>
        <v>25977.301134691785</v>
      </c>
      <c r="F175" s="128">
        <f>F$7*'Inputs and eligible population'!G$74*$C175+(E$7*'Inputs and eligible population'!F$74*$C175)</f>
        <v>23017.719974982527</v>
      </c>
      <c r="G175" s="128">
        <f>G$7*'Inputs and eligible population'!H$74*$C175+(F$7*'Inputs and eligible population'!G$74*$C175)</f>
        <v>19166.059721074525</v>
      </c>
      <c r="H175" s="128">
        <f>H$7*'Inputs and eligible population'!I$74*$C175+(G$7*'Inputs and eligible population'!H$74*$C175)</f>
        <v>15478.82643106423</v>
      </c>
      <c r="I175" s="128">
        <f>I$7*'Inputs and eligible population'!J$74*$C175+(H$7*'Inputs and eligible population'!I$74*$C175)</f>
        <v>13682.767361770571</v>
      </c>
      <c r="J175" s="296"/>
      <c r="K175" s="747">
        <f>'Inputs and eligible population'!$Q$113</f>
        <v>38.99</v>
      </c>
      <c r="L175" s="299">
        <f>(D175*'Inputs and eligible population'!$J$113/60*'Inputs and eligible population'!$Q$113)/1000</f>
        <v>0</v>
      </c>
      <c r="M175" s="299">
        <f>(E175*'Inputs and eligible population'!$J$113/60*'Inputs and eligible population'!$Q$113)/1000</f>
        <v>0</v>
      </c>
      <c r="N175" s="299">
        <f>(F175*'Inputs and eligible population'!$J$113/60*'Inputs and eligible population'!$Q$113)/1000</f>
        <v>0</v>
      </c>
      <c r="O175" s="299">
        <f>(G175*'Inputs and eligible population'!$J$113/60*'Inputs and eligible population'!$Q$113)/1000</f>
        <v>0</v>
      </c>
      <c r="P175" s="299">
        <f>(H175*'Inputs and eligible population'!$J$113/60*'Inputs and eligible population'!$Q$113)/1000</f>
        <v>0</v>
      </c>
      <c r="Q175" s="299">
        <f>(I175*'Inputs and eligible population'!$J$113/60*'Inputs and eligible population'!$Q$113)/1000</f>
        <v>0</v>
      </c>
      <c r="R175" s="133"/>
      <c r="S175" s="133"/>
      <c r="T175" s="133"/>
      <c r="U175" s="133"/>
      <c r="V175" s="133"/>
      <c r="W175" s="133"/>
      <c r="X175" s="133"/>
      <c r="Y175" s="133"/>
      <c r="Z175" s="133"/>
      <c r="AJ175" s="292"/>
      <c r="AK175" s="292"/>
      <c r="AL175" s="292"/>
      <c r="AM175" s="292"/>
      <c r="AN175" s="292"/>
    </row>
    <row r="176" spans="1:40" x14ac:dyDescent="0.25">
      <c r="A176" s="296"/>
      <c r="B176" s="289"/>
      <c r="C176" s="209"/>
      <c r="D176" s="187">
        <f>SUM(D171:D175)</f>
        <v>40571.921663059387</v>
      </c>
      <c r="E176" s="187">
        <f t="shared" ref="E176:I176" si="81">SUM(E171:E175)</f>
        <v>40800.668656469956</v>
      </c>
      <c r="F176" s="187">
        <f t="shared" si="81"/>
        <v>40401.771309543721</v>
      </c>
      <c r="G176" s="187">
        <f t="shared" si="81"/>
        <v>39612.357436740604</v>
      </c>
      <c r="H176" s="187">
        <f t="shared" si="81"/>
        <v>38945.28233178558</v>
      </c>
      <c r="I176" s="187">
        <f t="shared" si="81"/>
        <v>38261.66106630992</v>
      </c>
      <c r="J176" s="296"/>
      <c r="K176" s="296"/>
      <c r="L176" s="300">
        <f>SUM(L171:L175)</f>
        <v>0</v>
      </c>
      <c r="M176" s="300">
        <f t="shared" ref="M176:Q176" si="82">SUM(M171:M175)</f>
        <v>0</v>
      </c>
      <c r="N176" s="300">
        <f t="shared" si="82"/>
        <v>0</v>
      </c>
      <c r="O176" s="300">
        <f t="shared" si="82"/>
        <v>0</v>
      </c>
      <c r="P176" s="300">
        <f t="shared" si="82"/>
        <v>0</v>
      </c>
      <c r="Q176" s="300">
        <f t="shared" si="82"/>
        <v>0</v>
      </c>
      <c r="R176" s="133"/>
      <c r="S176" s="133"/>
      <c r="T176" s="133"/>
      <c r="U176" s="133"/>
      <c r="V176" s="133"/>
      <c r="W176" s="133"/>
      <c r="X176" s="133"/>
      <c r="Y176" s="133"/>
      <c r="Z176" s="133"/>
      <c r="AJ176" s="292"/>
      <c r="AK176" s="292"/>
      <c r="AL176" s="292"/>
      <c r="AM176" s="292"/>
      <c r="AN176" s="292"/>
    </row>
    <row r="177" spans="1:40" x14ac:dyDescent="0.25">
      <c r="A177" s="296"/>
      <c r="B177" s="312"/>
      <c r="C177" s="262"/>
      <c r="D177" s="291" t="s">
        <v>1184</v>
      </c>
      <c r="E177" s="187">
        <f>E176-$D$176</f>
        <v>228.74699341056839</v>
      </c>
      <c r="F177" s="187">
        <f>F176-$D$176</f>
        <v>-170.15035351566621</v>
      </c>
      <c r="G177" s="187">
        <f>G176-$D$176</f>
        <v>-959.56422631878377</v>
      </c>
      <c r="H177" s="187">
        <f>H176-$D$176</f>
        <v>-1626.6393312738073</v>
      </c>
      <c r="I177" s="187">
        <f>I176-$D$176</f>
        <v>-2310.2605967494674</v>
      </c>
      <c r="J177" s="296"/>
      <c r="K177" s="296"/>
      <c r="L177" s="592"/>
      <c r="M177" s="300">
        <f>M176-$L$176</f>
        <v>0</v>
      </c>
      <c r="N177" s="300">
        <f>N176-$L$176</f>
        <v>0</v>
      </c>
      <c r="O177" s="300">
        <f>O176-$L$176</f>
        <v>0</v>
      </c>
      <c r="P177" s="300">
        <f>P176-$L$176</f>
        <v>0</v>
      </c>
      <c r="Q177" s="300">
        <f>Q176-$L$176</f>
        <v>0</v>
      </c>
      <c r="V177" s="133"/>
    </row>
    <row r="178" spans="1:40" x14ac:dyDescent="0.25">
      <c r="A178" s="296"/>
      <c r="B178" s="335"/>
      <c r="C178" s="225"/>
      <c r="D178" s="225"/>
      <c r="E178" s="225"/>
      <c r="F178" s="225"/>
      <c r="G178" s="225"/>
      <c r="H178" s="225"/>
      <c r="I178" s="225"/>
      <c r="J178" s="296"/>
      <c r="K178" s="296"/>
      <c r="L178" s="225"/>
      <c r="M178" s="225"/>
      <c r="N178" s="225"/>
      <c r="O178" s="225"/>
      <c r="P178" s="225"/>
      <c r="Q178" s="225"/>
      <c r="V178" s="133"/>
    </row>
    <row r="179" spans="1:40" x14ac:dyDescent="0.25">
      <c r="A179" s="296"/>
      <c r="B179" s="409" t="s">
        <v>1165</v>
      </c>
      <c r="C179" s="410"/>
      <c r="D179" s="410"/>
      <c r="E179" s="410"/>
      <c r="F179" s="410"/>
      <c r="G179" s="410"/>
      <c r="H179" s="410"/>
      <c r="I179" s="224"/>
      <c r="J179" s="296"/>
      <c r="K179" s="296"/>
      <c r="L179" s="443"/>
      <c r="M179" s="443"/>
      <c r="N179" s="443"/>
      <c r="O179" s="443"/>
      <c r="P179" s="443"/>
      <c r="Q179" s="443"/>
      <c r="R179" s="133"/>
      <c r="S179" s="133"/>
      <c r="T179" s="133"/>
      <c r="U179" s="133"/>
      <c r="V179" s="133"/>
      <c r="W179" s="133"/>
      <c r="X179" s="133"/>
      <c r="Y179" s="133"/>
      <c r="Z179" s="133"/>
      <c r="AJ179" s="292"/>
      <c r="AK179" s="292"/>
      <c r="AL179" s="292"/>
      <c r="AM179" s="292"/>
      <c r="AN179" s="292"/>
    </row>
    <row r="180" spans="1:40" ht="45" x14ac:dyDescent="0.25">
      <c r="A180" s="296"/>
      <c r="B180" s="285" t="s">
        <v>131</v>
      </c>
      <c r="C180" s="166" t="s">
        <v>1185</v>
      </c>
      <c r="D180" s="434" t="s">
        <v>743</v>
      </c>
      <c r="E180" s="261" t="s">
        <v>51</v>
      </c>
      <c r="F180" s="261" t="s">
        <v>52</v>
      </c>
      <c r="G180" s="165" t="s">
        <v>744</v>
      </c>
      <c r="H180" s="165" t="s">
        <v>745</v>
      </c>
      <c r="I180" s="261" t="s">
        <v>746</v>
      </c>
      <c r="J180" s="296"/>
      <c r="K180" s="746" t="s">
        <v>1252</v>
      </c>
      <c r="L180" s="434" t="s">
        <v>743</v>
      </c>
      <c r="M180" s="261" t="s">
        <v>51</v>
      </c>
      <c r="N180" s="261" t="s">
        <v>52</v>
      </c>
      <c r="O180" s="165" t="s">
        <v>744</v>
      </c>
      <c r="P180" s="165" t="s">
        <v>745</v>
      </c>
      <c r="Q180" s="261" t="s">
        <v>746</v>
      </c>
      <c r="R180" s="133"/>
      <c r="S180" s="133"/>
      <c r="T180" s="133"/>
      <c r="U180" s="133"/>
      <c r="V180" s="133"/>
      <c r="W180" s="133"/>
      <c r="X180" s="133"/>
      <c r="Y180" s="133"/>
      <c r="Z180" s="133"/>
      <c r="AJ180" s="292"/>
      <c r="AK180" s="292"/>
      <c r="AL180" s="292"/>
      <c r="AM180" s="292"/>
      <c r="AN180" s="292"/>
    </row>
    <row r="181" spans="1:40" x14ac:dyDescent="0.25">
      <c r="A181" s="296"/>
      <c r="B181" s="358" t="s">
        <v>1247</v>
      </c>
      <c r="C181" s="149">
        <f>'Inputs and eligible population'!F114</f>
        <v>9.8800000000000008</v>
      </c>
      <c r="D181" s="128">
        <f>D$7*'Inputs and eligible population'!E$70*$C181</f>
        <v>0</v>
      </c>
      <c r="E181" s="128">
        <f>E$7*'Inputs and eligible population'!F$70*$C181</f>
        <v>1177.1010303545556</v>
      </c>
      <c r="F181" s="128">
        <f>F$7*'Inputs and eligible population'!G$70*$C181+(E$7*'Inputs and eligible population'!F$70*('Unit costs'!$O$14/'Unit costs'!$O$9)*$C181)</f>
        <v>2763.0501110209957</v>
      </c>
      <c r="G181" s="128">
        <f>G$7*'Inputs and eligible population'!H$70*$C181+(F$7*'Inputs and eligible population'!G$70*('Unit costs'!$O$14/'Unit costs'!$O$9)*$C181)</f>
        <v>4303.2936209634036</v>
      </c>
      <c r="H181" s="128">
        <f>H$7*'Inputs and eligible population'!I$70*$C181+(G$7*'Inputs and eligible population'!H$70*('Unit costs'!$O$14/'Unit costs'!$O$9)*$C181)</f>
        <v>5857.1642289783449</v>
      </c>
      <c r="I181" s="128">
        <f>I$7*'Inputs and eligible population'!J$70*$C181+(H$7*'Inputs and eligible population'!I$70*('Unit costs'!$O$14/'Unit costs'!$O$9)*$C181)</f>
        <v>6107.8445894299784</v>
      </c>
      <c r="J181" s="296"/>
      <c r="K181" s="747">
        <f>'Inputs and eligible population'!$Q$115</f>
        <v>31.51</v>
      </c>
      <c r="L181" s="299">
        <f>(D181*'Inputs and eligible population'!$F$115/60*'Inputs and eligible population'!$Q$115)/1000</f>
        <v>0</v>
      </c>
      <c r="M181" s="299">
        <f>(E181*'Inputs and eligible population'!$F$115/60*'Inputs and eligible population'!$Q$115)/1000</f>
        <v>0</v>
      </c>
      <c r="N181" s="299">
        <f>(F181*'Inputs and eligible population'!$F$115/60*'Inputs and eligible population'!$Q$115)/1000</f>
        <v>0</v>
      </c>
      <c r="O181" s="299">
        <f>(G181*'Inputs and eligible population'!$F$115/60*'Inputs and eligible population'!$Q$115)/1000</f>
        <v>0</v>
      </c>
      <c r="P181" s="299">
        <f>(H181*'Inputs and eligible population'!$F$115/60*'Inputs and eligible population'!$Q$115)/1000</f>
        <v>0</v>
      </c>
      <c r="Q181" s="299">
        <f>(I181*'Inputs and eligible population'!$F$115/60*'Inputs and eligible population'!$Q$115)/1000</f>
        <v>0</v>
      </c>
      <c r="R181" s="133"/>
      <c r="S181" s="133"/>
      <c r="T181" s="133"/>
      <c r="U181" s="133"/>
      <c r="V181" s="133"/>
      <c r="W181" s="133"/>
      <c r="X181" s="133"/>
      <c r="Y181" s="133"/>
      <c r="Z181" s="133"/>
      <c r="AJ181" s="292"/>
      <c r="AK181" s="292"/>
      <c r="AL181" s="292"/>
      <c r="AM181" s="292"/>
      <c r="AN181" s="292"/>
    </row>
    <row r="182" spans="1:40" x14ac:dyDescent="0.25">
      <c r="A182" s="296"/>
      <c r="B182" s="358" t="s">
        <v>1249</v>
      </c>
      <c r="C182" s="149">
        <f>'Inputs and eligible population'!G114</f>
        <v>9.8800000000000008</v>
      </c>
      <c r="D182" s="128">
        <f>D$7*'Inputs and eligible population'!E$71*$C182+(D$7*'Inputs and eligible population'!E$71*('Unit costs'!$O$33/'Unit costs'!$O$28)*$C182)</f>
        <v>1431.5764627010508</v>
      </c>
      <c r="E182" s="128">
        <f>E$7*'Inputs and eligible population'!F$71*$C182+(D$7*'Inputs and eligible population'!E$71*('Unit costs'!$O$33/'Unit costs'!$O$28)*$C182)</f>
        <v>1761.7967655258112</v>
      </c>
      <c r="F182" s="128">
        <f>F$7*'Inputs and eligible population'!G$71*$C182+(E$7*'Inputs and eligible population'!F$71*('Unit costs'!$O$33/'Unit costs'!$O$28)*$C182)</f>
        <v>3402.5545886081418</v>
      </c>
      <c r="G182" s="128">
        <f>G$7*'Inputs and eligible population'!H$71*$C182+(F$7*'Inputs and eligible population'!G$71*('Unit costs'!$O$33/'Unit costs'!$O$28)*$C182)</f>
        <v>5710.3386800566468</v>
      </c>
      <c r="H182" s="128">
        <f>H$7*'Inputs and eligible population'!I$71*$C182+(G$7*'Inputs and eligible population'!H$71*('Unit costs'!$O$33/'Unit costs'!$O$28)*$C182)</f>
        <v>7988.0815039474846</v>
      </c>
      <c r="I182" s="128">
        <f>I$7*'Inputs and eligible population'!J$71*$C182+(H$7*'Inputs and eligible population'!I$71*('Unit costs'!$O$33/'Unit costs'!$O$28)*$C182)</f>
        <v>8976.4621481712475</v>
      </c>
      <c r="J182" s="296"/>
      <c r="K182" s="747">
        <f>'Inputs and eligible population'!$Q$115</f>
        <v>31.51</v>
      </c>
      <c r="L182" s="299">
        <f>(D182*'Inputs and eligible population'!$G$115/60*'Inputs and eligible population'!$Q$115)/1000</f>
        <v>0</v>
      </c>
      <c r="M182" s="299">
        <f>(E182*'Inputs and eligible population'!$G$115/60*'Inputs and eligible population'!$Q$115)/1000</f>
        <v>0</v>
      </c>
      <c r="N182" s="299">
        <f>(F182*'Inputs and eligible population'!$G$115/60*'Inputs and eligible population'!$Q$115)/1000</f>
        <v>0</v>
      </c>
      <c r="O182" s="299">
        <f>(G182*'Inputs and eligible population'!$G$115/60*'Inputs and eligible population'!$Q$115)/1000</f>
        <v>0</v>
      </c>
      <c r="P182" s="299">
        <f>(H182*'Inputs and eligible population'!$G$115/60*'Inputs and eligible population'!$Q$115)/1000</f>
        <v>0</v>
      </c>
      <c r="Q182" s="299">
        <f>(I182*'Inputs and eligible population'!$G$115/60*'Inputs and eligible population'!$Q$115)/1000</f>
        <v>0</v>
      </c>
      <c r="R182" s="133"/>
      <c r="S182" s="133"/>
      <c r="T182" s="133"/>
      <c r="U182" s="133"/>
      <c r="V182" s="133"/>
      <c r="W182" s="133"/>
      <c r="X182" s="133"/>
      <c r="Y182" s="133"/>
      <c r="Z182" s="133"/>
      <c r="AJ182" s="292"/>
      <c r="AK182" s="292"/>
      <c r="AL182" s="292"/>
      <c r="AM182" s="292"/>
      <c r="AN182" s="292"/>
    </row>
    <row r="183" spans="1:40" x14ac:dyDescent="0.25">
      <c r="A183" s="296"/>
      <c r="B183" s="358" t="s">
        <v>1248</v>
      </c>
      <c r="C183" s="149">
        <f>'Inputs and eligible population'!H114</f>
        <v>9.8800000000000008</v>
      </c>
      <c r="D183" s="128">
        <f>D$7*'Inputs and eligible population'!E$72*$C183</f>
        <v>4128.5435467077505</v>
      </c>
      <c r="E183" s="128">
        <f>E$7*'Inputs and eligible population'!F$72*$C183</f>
        <v>3847.707848022972</v>
      </c>
      <c r="F183" s="128">
        <f>F$7*'Inputs and eligible population'!G$72*$C183</f>
        <v>3453.1615166853844</v>
      </c>
      <c r="G183" s="128">
        <f>G$7*'Inputs and eligible population'!H$72*$C183</f>
        <v>3050.6492057747246</v>
      </c>
      <c r="H183" s="128">
        <f>H$7*'Inputs and eligible population'!I$72*$C183</f>
        <v>2640.053981191536</v>
      </c>
      <c r="I183" s="128">
        <f>I$7*'Inputs and eligible population'!J$72*$C183</f>
        <v>2665.5088733725634</v>
      </c>
      <c r="J183" s="296"/>
      <c r="K183" s="747">
        <f>'Inputs and eligible population'!$Q$115</f>
        <v>31.51</v>
      </c>
      <c r="L183" s="299">
        <f>(D183*'Inputs and eligible population'!$H$115/60*'Inputs and eligible population'!$Q$115)/1000</f>
        <v>0</v>
      </c>
      <c r="M183" s="299">
        <f>(E183*'Inputs and eligible population'!$H$115/60*'Inputs and eligible population'!$Q$115)/1000</f>
        <v>0</v>
      </c>
      <c r="N183" s="299">
        <f>(F183*'Inputs and eligible population'!$H$115/60*'Inputs and eligible population'!$Q$115)/1000</f>
        <v>0</v>
      </c>
      <c r="O183" s="299">
        <f>(G183*'Inputs and eligible population'!$H$115/60*'Inputs and eligible population'!$Q$115)/1000</f>
        <v>0</v>
      </c>
      <c r="P183" s="299">
        <f>(H183*'Inputs and eligible population'!$H$115/60*'Inputs and eligible population'!$Q$115)/1000</f>
        <v>0</v>
      </c>
      <c r="Q183" s="299">
        <f>(I183*'Inputs and eligible population'!$H$115/60*'Inputs and eligible population'!$Q$115)/1000</f>
        <v>0</v>
      </c>
      <c r="R183" s="133"/>
      <c r="S183" s="133"/>
      <c r="T183" s="133"/>
      <c r="U183" s="133"/>
      <c r="V183" s="133"/>
      <c r="W183" s="133"/>
      <c r="X183" s="133"/>
      <c r="Y183" s="133"/>
      <c r="Z183" s="133"/>
      <c r="AJ183" s="292"/>
      <c r="AK183" s="292"/>
      <c r="AL183" s="292"/>
      <c r="AM183" s="292"/>
      <c r="AN183" s="292"/>
    </row>
    <row r="184" spans="1:40" x14ac:dyDescent="0.25">
      <c r="A184" s="296"/>
      <c r="B184" s="358" t="s">
        <v>1259</v>
      </c>
      <c r="C184" s="149">
        <f>'Inputs and eligible population'!I114</f>
        <v>9.8800000000000008</v>
      </c>
      <c r="D184" s="128">
        <f>D$7*'Inputs and eligible population'!E$73*$C184+(D$7*'Inputs and eligible population'!E$73*('Unit costs'!$O$33/'Unit costs'!$O$28)*$C184)</f>
        <v>6799.9881978299909</v>
      </c>
      <c r="E184" s="128">
        <f>E$7*'Inputs and eligible population'!F$73*$C184+(D$7*'Inputs and eligible population'!E$73*('Unit costs'!$O$33/'Unit costs'!$O$28)*$C$174)</f>
        <v>6917.3604576720645</v>
      </c>
      <c r="F184" s="128">
        <f>F$7*'Inputs and eligible population'!G$73*$C184+(E$7*'Inputs and eligible population'!F$73*('Unit costs'!$O$33/'Unit costs'!$O$28)*$C$174)</f>
        <v>6389.2927252993086</v>
      </c>
      <c r="G184" s="128">
        <f>G$7*'Inputs and eligible population'!H$73*$C184+(F$7*'Inputs and eligible population'!G$73*('Unit costs'!$O$33/'Unit costs'!$O$28)*$C$174)</f>
        <v>5685.7077128113579</v>
      </c>
      <c r="H184" s="128">
        <f>H$7*'Inputs and eligible population'!I$73*$C184+(G$7*'Inputs and eligible population'!H$73*('Unit costs'!$O$33/'Unit costs'!$O$28)*$C$174)</f>
        <v>4967.9610607819959</v>
      </c>
      <c r="I184" s="128">
        <f>I$7*'Inputs and eligible population'!J$73*$C184+(H$7*'Inputs and eligible population'!I$73*('Unit costs'!$O$33/'Unit costs'!$O$28)*$C$174)</f>
        <v>4680.0965688975248</v>
      </c>
      <c r="J184" s="296"/>
      <c r="K184" s="747">
        <f>'Inputs and eligible population'!$Q$115</f>
        <v>31.51</v>
      </c>
      <c r="L184" s="299">
        <f>(D184*'Inputs and eligible population'!$I$115/60*'Inputs and eligible population'!$Q$115)/1000</f>
        <v>0</v>
      </c>
      <c r="M184" s="299">
        <f>(E184*'Inputs and eligible population'!$I$115/60*'Inputs and eligible population'!$Q$115)/1000</f>
        <v>0</v>
      </c>
      <c r="N184" s="299">
        <f>(F184*'Inputs and eligible population'!$I$115/60*'Inputs and eligible population'!$Q$115)/1000</f>
        <v>0</v>
      </c>
      <c r="O184" s="299">
        <f>(G184*'Inputs and eligible population'!$I$115/60*'Inputs and eligible population'!$Q$115)/1000</f>
        <v>0</v>
      </c>
      <c r="P184" s="299">
        <f>(H184*'Inputs and eligible population'!$I$115/60*'Inputs and eligible population'!$Q$115)/1000</f>
        <v>0</v>
      </c>
      <c r="Q184" s="299">
        <f>(I184*'Inputs and eligible population'!$I$115/60*'Inputs and eligible population'!$Q$115)/1000</f>
        <v>0</v>
      </c>
      <c r="R184" s="133"/>
      <c r="S184" s="133"/>
      <c r="T184" s="133"/>
      <c r="U184" s="133"/>
      <c r="V184" s="133"/>
      <c r="W184" s="133"/>
      <c r="X184" s="133"/>
      <c r="Y184" s="133"/>
      <c r="Z184" s="133"/>
      <c r="AJ184" s="292"/>
      <c r="AK184" s="292"/>
      <c r="AL184" s="292"/>
      <c r="AM184" s="292"/>
      <c r="AN184" s="292"/>
    </row>
    <row r="185" spans="1:40" x14ac:dyDescent="0.25">
      <c r="A185" s="296"/>
      <c r="B185" s="358" t="s">
        <v>1250</v>
      </c>
      <c r="C185" s="149">
        <f>'Inputs and eligible population'!J114</f>
        <v>9.8800000000000008</v>
      </c>
      <c r="D185" s="128">
        <f>D$7*'Inputs and eligible population'!E$74*$C185+(D$7*'Inputs and eligible population'!E$74*$C185)</f>
        <v>24347.820916481603</v>
      </c>
      <c r="E185" s="128">
        <f>E$7*'Inputs and eligible population'!F$74*$C185+(D$7*'Inputs and eligible population'!E$74*$C185)</f>
        <v>23503.27245519733</v>
      </c>
      <c r="F185" s="128">
        <f>F$7*'Inputs and eligible population'!G$74*$C185+(E$7*'Inputs and eligible population'!F$74*$C185)</f>
        <v>20825.556167841336</v>
      </c>
      <c r="G185" s="128">
        <f>G$7*'Inputs and eligible population'!H$74*$C185+(F$7*'Inputs and eligible population'!G$74*$C185)</f>
        <v>17340.72070001981</v>
      </c>
      <c r="H185" s="128">
        <f>H$7*'Inputs and eligible population'!I$74*$C185+(G$7*'Inputs and eligible population'!H$74*$C185)</f>
        <v>14004.652485248589</v>
      </c>
      <c r="I185" s="128">
        <f>I$7*'Inputs and eligible population'!J$74*$C185+(H$7*'Inputs and eligible population'!I$74*$C185)</f>
        <v>12379.646660649565</v>
      </c>
      <c r="J185" s="296"/>
      <c r="K185" s="747">
        <f>'Inputs and eligible population'!$Q$115</f>
        <v>31.51</v>
      </c>
      <c r="L185" s="299">
        <f>(D185*'Inputs and eligible population'!$J$115/60*'Inputs and eligible population'!$Q$115)/1000</f>
        <v>0</v>
      </c>
      <c r="M185" s="299">
        <f>(E185*'Inputs and eligible population'!$J$115/60*'Inputs and eligible population'!$Q$115)/1000</f>
        <v>0</v>
      </c>
      <c r="N185" s="299">
        <f>(F185*'Inputs and eligible population'!$J$115/60*'Inputs and eligible population'!$Q$115)/1000</f>
        <v>0</v>
      </c>
      <c r="O185" s="299">
        <f>(G185*'Inputs and eligible population'!$J$115/60*'Inputs and eligible population'!$Q$115)/1000</f>
        <v>0</v>
      </c>
      <c r="P185" s="299">
        <f>(H185*'Inputs and eligible population'!$J$115/60*'Inputs and eligible population'!$Q$115)/1000</f>
        <v>0</v>
      </c>
      <c r="Q185" s="299">
        <f>(I185*'Inputs and eligible population'!$J$115/60*'Inputs and eligible population'!$Q$115)/1000</f>
        <v>0</v>
      </c>
      <c r="R185" s="133"/>
      <c r="S185" s="133"/>
      <c r="T185" s="133"/>
      <c r="U185" s="133"/>
      <c r="V185" s="133"/>
      <c r="W185" s="133"/>
      <c r="X185" s="133"/>
      <c r="Y185" s="133"/>
      <c r="Z185" s="133"/>
      <c r="AJ185" s="292"/>
      <c r="AK185" s="292"/>
      <c r="AL185" s="292"/>
      <c r="AM185" s="292"/>
      <c r="AN185" s="292"/>
    </row>
    <row r="186" spans="1:40" x14ac:dyDescent="0.25">
      <c r="A186" s="296"/>
      <c r="B186" s="289"/>
      <c r="C186" s="209"/>
      <c r="D186" s="187">
        <f>SUM(D181:D185)</f>
        <v>36707.929123720394</v>
      </c>
      <c r="E186" s="187">
        <f t="shared" ref="E186:I186" si="83">SUM(E181:E185)</f>
        <v>37207.238556772732</v>
      </c>
      <c r="F186" s="187">
        <f t="shared" si="83"/>
        <v>36833.615109455168</v>
      </c>
      <c r="G186" s="187">
        <f t="shared" si="83"/>
        <v>36090.709919625944</v>
      </c>
      <c r="H186" s="187">
        <f t="shared" si="83"/>
        <v>35457.91326014795</v>
      </c>
      <c r="I186" s="187">
        <f t="shared" si="83"/>
        <v>34809.558840520884</v>
      </c>
      <c r="J186" s="296"/>
      <c r="K186" s="296"/>
      <c r="L186" s="300">
        <f>SUM(L181:L185)</f>
        <v>0</v>
      </c>
      <c r="M186" s="300">
        <f t="shared" ref="M186:P186" si="84">SUM(M181:M185)</f>
        <v>0</v>
      </c>
      <c r="N186" s="300">
        <f t="shared" si="84"/>
        <v>0</v>
      </c>
      <c r="O186" s="300">
        <f t="shared" si="84"/>
        <v>0</v>
      </c>
      <c r="P186" s="300">
        <f t="shared" si="84"/>
        <v>0</v>
      </c>
      <c r="Q186" s="300">
        <f>SUM(Q181:Q185)</f>
        <v>0</v>
      </c>
      <c r="R186" s="133"/>
      <c r="S186" s="133"/>
      <c r="T186" s="133"/>
      <c r="U186" s="133"/>
      <c r="V186" s="133"/>
      <c r="W186" s="133"/>
      <c r="X186" s="133"/>
      <c r="Y186" s="133"/>
      <c r="Z186" s="133"/>
      <c r="AJ186" s="292"/>
      <c r="AK186" s="292"/>
      <c r="AL186" s="292"/>
      <c r="AM186" s="292"/>
      <c r="AN186" s="292"/>
    </row>
    <row r="187" spans="1:40" x14ac:dyDescent="0.25">
      <c r="A187" s="296"/>
      <c r="B187" s="312"/>
      <c r="C187" s="262"/>
      <c r="D187" s="291" t="s">
        <v>1186</v>
      </c>
      <c r="E187" s="187">
        <f>E186-$D$186</f>
        <v>499.30943305233814</v>
      </c>
      <c r="F187" s="187">
        <f>F186-$D$186</f>
        <v>125.68598573477357</v>
      </c>
      <c r="G187" s="187">
        <f>G186-$D$186</f>
        <v>-617.21920409445011</v>
      </c>
      <c r="H187" s="187">
        <f>H186-$D$186</f>
        <v>-1250.0158635724438</v>
      </c>
      <c r="I187" s="187">
        <f>I186-$D$186</f>
        <v>-1898.3702831995106</v>
      </c>
      <c r="J187" s="296"/>
      <c r="K187" s="296"/>
      <c r="L187" s="592"/>
      <c r="M187" s="300">
        <f>M186-$L$186</f>
        <v>0</v>
      </c>
      <c r="N187" s="300">
        <f>N186-$L$186</f>
        <v>0</v>
      </c>
      <c r="O187" s="300">
        <f>O186-$L$186</f>
        <v>0</v>
      </c>
      <c r="P187" s="300">
        <f>P186-$L$186</f>
        <v>0</v>
      </c>
      <c r="Q187" s="300">
        <f>Q186-$L$186</f>
        <v>0</v>
      </c>
      <c r="V187" s="133"/>
    </row>
    <row r="188" spans="1:40" x14ac:dyDescent="0.25">
      <c r="A188" s="296"/>
      <c r="B188" s="335"/>
      <c r="C188" s="225"/>
      <c r="D188" s="225"/>
      <c r="E188" s="225"/>
      <c r="F188" s="225"/>
      <c r="G188" s="225"/>
      <c r="H188" s="225"/>
      <c r="I188" s="225"/>
      <c r="J188" s="225"/>
      <c r="K188" s="225"/>
      <c r="L188" s="225"/>
      <c r="M188" s="225"/>
      <c r="N188" s="225"/>
      <c r="O188" s="225"/>
      <c r="P188" s="225"/>
      <c r="Q188" s="225"/>
      <c r="V188" s="133"/>
    </row>
    <row r="189" spans="1:40" x14ac:dyDescent="0.25">
      <c r="A189" s="296"/>
      <c r="B189" s="409" t="s">
        <v>1187</v>
      </c>
      <c r="C189" s="410"/>
      <c r="D189" s="410"/>
      <c r="E189" s="410"/>
      <c r="F189" s="410"/>
      <c r="G189" s="410"/>
      <c r="H189" s="410"/>
      <c r="I189" s="224"/>
      <c r="J189" s="225"/>
      <c r="K189" s="225"/>
      <c r="L189" s="225"/>
      <c r="M189" s="225"/>
      <c r="N189" s="225"/>
      <c r="O189" s="225"/>
      <c r="P189" s="225"/>
      <c r="Q189" s="225"/>
      <c r="R189" s="133"/>
      <c r="S189" s="133"/>
      <c r="T189" s="133"/>
      <c r="U189" s="133"/>
      <c r="V189" s="133"/>
      <c r="W189" s="133"/>
      <c r="X189" s="133"/>
      <c r="Y189" s="133"/>
      <c r="Z189" s="133"/>
      <c r="AJ189" s="292"/>
      <c r="AK189" s="292"/>
      <c r="AL189" s="292"/>
      <c r="AM189" s="292"/>
      <c r="AN189" s="292"/>
    </row>
    <row r="190" spans="1:40" ht="45" x14ac:dyDescent="0.25">
      <c r="A190" s="296"/>
      <c r="B190" s="285" t="s">
        <v>131</v>
      </c>
      <c r="C190" s="166" t="s">
        <v>1188</v>
      </c>
      <c r="D190" s="434" t="s">
        <v>743</v>
      </c>
      <c r="E190" s="261" t="s">
        <v>51</v>
      </c>
      <c r="F190" s="261" t="s">
        <v>52</v>
      </c>
      <c r="G190" s="165" t="s">
        <v>744</v>
      </c>
      <c r="H190" s="165" t="s">
        <v>745</v>
      </c>
      <c r="I190" s="261" t="s">
        <v>746</v>
      </c>
      <c r="J190" s="296"/>
      <c r="K190" s="746" t="s">
        <v>1252</v>
      </c>
      <c r="L190" s="434" t="s">
        <v>743</v>
      </c>
      <c r="M190" s="261" t="s">
        <v>51</v>
      </c>
      <c r="N190" s="261" t="s">
        <v>52</v>
      </c>
      <c r="O190" s="165" t="s">
        <v>744</v>
      </c>
      <c r="P190" s="165" t="s">
        <v>745</v>
      </c>
      <c r="Q190" s="261" t="s">
        <v>746</v>
      </c>
      <c r="R190" s="133"/>
      <c r="S190" s="133"/>
      <c r="T190" s="133"/>
      <c r="U190" s="133"/>
      <c r="V190" s="133"/>
      <c r="W190" s="133"/>
      <c r="X190" s="133"/>
      <c r="Y190" s="133"/>
      <c r="Z190" s="133"/>
      <c r="AJ190" s="292"/>
      <c r="AK190" s="292"/>
      <c r="AL190" s="292"/>
      <c r="AM190" s="292"/>
      <c r="AN190" s="292"/>
    </row>
    <row r="191" spans="1:40" x14ac:dyDescent="0.25">
      <c r="A191" s="296"/>
      <c r="B191" s="358" t="s">
        <v>1247</v>
      </c>
      <c r="C191" s="149">
        <f>'Inputs and eligible population'!F116</f>
        <v>6.24</v>
      </c>
      <c r="D191" s="128">
        <f>D$7*'Inputs and eligible population'!E$70*$C191</f>
        <v>0</v>
      </c>
      <c r="E191" s="128">
        <f>E$7*'Inputs and eligible population'!F$70*$C191</f>
        <v>743.43222969761405</v>
      </c>
      <c r="F191" s="128">
        <f>F$7*'Inputs and eligible population'!G$70*$C191+(E$7*'Inputs and eligible population'!F$70*('Unit costs'!$O$14/'Unit costs'!$O$9)*$C191)</f>
        <v>1745.0842806448395</v>
      </c>
      <c r="G191" s="128">
        <f>G$7*'Inputs and eligible population'!H$70*$C191+(F$7*'Inputs and eligible population'!G$70*('Unit costs'!$O$14/'Unit costs'!$O$9)*$C191)</f>
        <v>2717.8696553453074</v>
      </c>
      <c r="H191" s="128">
        <f>H$7*'Inputs and eligible population'!I$70*$C191+(G$7*'Inputs and eligible population'!H$70*('Unit costs'!$O$14/'Unit costs'!$O$9)*$C191)</f>
        <v>3699.2616183021128</v>
      </c>
      <c r="I191" s="128">
        <f>I$7*'Inputs and eligible population'!J$70*$C191+(H$7*'Inputs and eligible population'!I$70*('Unit costs'!$O$14/'Unit costs'!$O$9)*$C191)</f>
        <v>3857.5860564820914</v>
      </c>
      <c r="J191" s="296"/>
      <c r="K191" s="747">
        <f>'Inputs and eligible population'!$Q$117</f>
        <v>43.28</v>
      </c>
      <c r="L191" s="299">
        <f>(D191*'Inputs and eligible population'!$F$117/60*'Inputs and eligible population'!$Q$117)/1000</f>
        <v>0</v>
      </c>
      <c r="M191" s="299">
        <f>(E191*'Inputs and eligible population'!$F$117/60*'Inputs and eligible population'!$Q$117)/1000</f>
        <v>0</v>
      </c>
      <c r="N191" s="299">
        <f>(F191*'Inputs and eligible population'!$F$117/60*'Inputs and eligible population'!$Q$117)/1000</f>
        <v>0</v>
      </c>
      <c r="O191" s="299">
        <f>(G191*'Inputs and eligible population'!$F$117/60*'Inputs and eligible population'!$Q$117)/1000</f>
        <v>0</v>
      </c>
      <c r="P191" s="299">
        <f>(H191*'Inputs and eligible population'!$F$117/60*'Inputs and eligible population'!$Q$117)/1000</f>
        <v>0</v>
      </c>
      <c r="Q191" s="299">
        <f>(I191*'Inputs and eligible population'!$F$117/60*'Inputs and eligible population'!$Q$117)/1000</f>
        <v>0</v>
      </c>
      <c r="R191" s="133"/>
      <c r="S191" s="133"/>
      <c r="T191" s="133"/>
      <c r="U191" s="133"/>
      <c r="V191" s="133"/>
      <c r="W191" s="133"/>
      <c r="X191" s="133"/>
      <c r="Y191" s="133"/>
      <c r="Z191" s="133"/>
      <c r="AJ191" s="292"/>
      <c r="AK191" s="292"/>
      <c r="AL191" s="292"/>
      <c r="AM191" s="292"/>
      <c r="AN191" s="292"/>
    </row>
    <row r="192" spans="1:40" x14ac:dyDescent="0.25">
      <c r="A192" s="296"/>
      <c r="B192" s="358" t="s">
        <v>1249</v>
      </c>
      <c r="C192" s="149">
        <f>'Inputs and eligible population'!G116</f>
        <v>6.24</v>
      </c>
      <c r="D192" s="128">
        <f>D$7*'Inputs and eligible population'!E$71*$C192+(D$7*'Inputs and eligible population'!E$71*('Unit costs'!$O$33/'Unit costs'!$O$28)*$C192)</f>
        <v>904.15355539013717</v>
      </c>
      <c r="E192" s="128">
        <f>E$7*'Inputs and eligible population'!F$71*$C192+(D$7*'Inputs and eligible population'!E$71*('Unit costs'!$O$33/'Unit costs'!$O$28)*$C192)</f>
        <v>1112.7137466478807</v>
      </c>
      <c r="F192" s="128">
        <f>F$7*'Inputs and eligible population'!G$71*$C192+(E$7*'Inputs and eligible population'!F$71*('Unit costs'!$O$33/'Unit costs'!$O$28)*$C192)</f>
        <v>2148.9818454367214</v>
      </c>
      <c r="G192" s="128">
        <f>G$7*'Inputs and eligible population'!H$71*$C192+(F$7*'Inputs and eligible population'!G$71*('Unit costs'!$O$33/'Unit costs'!$O$28)*$C192)</f>
        <v>3606.5296926673559</v>
      </c>
      <c r="H192" s="128">
        <f>H$7*'Inputs and eligible population'!I$71*$C192+(G$7*'Inputs and eligible population'!H$71*('Unit costs'!$O$33/'Unit costs'!$O$28)*$C192)</f>
        <v>5045.1041077563059</v>
      </c>
      <c r="I192" s="128">
        <f>I$7*'Inputs and eligible population'!J$71*$C192+(H$7*'Inputs and eligible population'!I$71*('Unit costs'!$O$33/'Unit costs'!$O$28)*$C192)</f>
        <v>5669.3445146344711</v>
      </c>
      <c r="J192" s="296"/>
      <c r="K192" s="747">
        <f>'Inputs and eligible population'!$Q$117</f>
        <v>43.28</v>
      </c>
      <c r="L192" s="299">
        <f>(D192*'Inputs and eligible population'!$G$117/60*'Inputs and eligible population'!$Q$117)/1000</f>
        <v>0</v>
      </c>
      <c r="M192" s="299">
        <f>(E192*'Inputs and eligible population'!$G$117/60*'Inputs and eligible population'!$Q$117)/1000</f>
        <v>0</v>
      </c>
      <c r="N192" s="299">
        <f>(F192*'Inputs and eligible population'!$G$117/60*'Inputs and eligible population'!$Q$117)/1000</f>
        <v>0</v>
      </c>
      <c r="O192" s="299">
        <f>(G192*'Inputs and eligible population'!$G$117/60*'Inputs and eligible population'!$Q$117)/1000</f>
        <v>0</v>
      </c>
      <c r="P192" s="299">
        <f>(H192*'Inputs and eligible population'!$G$117/60*'Inputs and eligible population'!$Q$117)/1000</f>
        <v>0</v>
      </c>
      <c r="Q192" s="299">
        <f>(I192*'Inputs and eligible population'!$G$117/60*'Inputs and eligible population'!$Q$117)/1000</f>
        <v>0</v>
      </c>
      <c r="R192" s="133"/>
      <c r="S192" s="133"/>
      <c r="T192" s="133"/>
      <c r="U192" s="133"/>
      <c r="V192" s="133"/>
      <c r="W192" s="133"/>
      <c r="X192" s="133"/>
      <c r="Y192" s="133"/>
      <c r="Z192" s="133"/>
      <c r="AJ192" s="292"/>
      <c r="AK192" s="292"/>
      <c r="AL192" s="292"/>
      <c r="AM192" s="292"/>
      <c r="AN192" s="292"/>
    </row>
    <row r="193" spans="1:40" x14ac:dyDescent="0.25">
      <c r="A193" s="296"/>
      <c r="B193" s="358" t="s">
        <v>1248</v>
      </c>
      <c r="C193" s="149">
        <f>'Inputs and eligible population'!H116</f>
        <v>6.24</v>
      </c>
      <c r="D193" s="128">
        <f>D$7*'Inputs and eligible population'!E$72*$C193</f>
        <v>2607.501187394369</v>
      </c>
      <c r="E193" s="128">
        <f>E$7*'Inputs and eligible population'!F$72*$C193</f>
        <v>2430.1312724355612</v>
      </c>
      <c r="F193" s="128">
        <f>F$7*'Inputs and eligible population'!G$72*$C193</f>
        <v>2180.9441158012955</v>
      </c>
      <c r="G193" s="128">
        <f>G$7*'Inputs and eligible population'!H$72*$C193</f>
        <v>1926.7258141735103</v>
      </c>
      <c r="H193" s="128">
        <f>H$7*'Inputs and eligible population'!I$72*$C193</f>
        <v>1667.4025144367595</v>
      </c>
      <c r="I193" s="128">
        <f>I$7*'Inputs and eligible population'!J$72*$C193</f>
        <v>1683.4792884458293</v>
      </c>
      <c r="J193" s="296"/>
      <c r="K193" s="747">
        <f>'Inputs and eligible population'!$Q$117</f>
        <v>43.28</v>
      </c>
      <c r="L193" s="299">
        <f>(D193*'Inputs and eligible population'!$H$117/60*'Inputs and eligible population'!$Q$117)/1000</f>
        <v>0</v>
      </c>
      <c r="M193" s="299">
        <f>(E193*'Inputs and eligible population'!$H$117/60*'Inputs and eligible population'!$Q$117)/1000</f>
        <v>0</v>
      </c>
      <c r="N193" s="299">
        <f>(F193*'Inputs and eligible population'!$H$117/60*'Inputs and eligible population'!$Q$117)/1000</f>
        <v>0</v>
      </c>
      <c r="O193" s="299">
        <f>(G193*'Inputs and eligible population'!$H$117/60*'Inputs and eligible population'!$Q$117)/1000</f>
        <v>0</v>
      </c>
      <c r="P193" s="299">
        <f>(H193*'Inputs and eligible population'!$H$117/60*'Inputs and eligible population'!$Q$117)/1000</f>
        <v>0</v>
      </c>
      <c r="Q193" s="299">
        <f>(I193*'Inputs and eligible population'!$H$117/60*'Inputs and eligible population'!$Q$117)/1000</f>
        <v>0</v>
      </c>
      <c r="R193" s="133"/>
      <c r="S193" s="133"/>
      <c r="T193" s="133"/>
      <c r="U193" s="133"/>
      <c r="V193" s="133"/>
      <c r="W193" s="133"/>
      <c r="X193" s="133"/>
      <c r="Y193" s="133"/>
      <c r="Z193" s="133"/>
      <c r="AJ193" s="292"/>
      <c r="AK193" s="292"/>
      <c r="AL193" s="292"/>
      <c r="AM193" s="292"/>
      <c r="AN193" s="292"/>
    </row>
    <row r="194" spans="1:40" x14ac:dyDescent="0.25">
      <c r="A194" s="296"/>
      <c r="B194" s="358" t="s">
        <v>1259</v>
      </c>
      <c r="C194" s="149">
        <f>'Inputs and eligible population'!I116</f>
        <v>6.24</v>
      </c>
      <c r="D194" s="128">
        <f>D$7*'Inputs and eligible population'!E$73*$C194+(D$7*'Inputs and eligible population'!E$73*('Unit costs'!$O$33/'Unit costs'!$O$28)*$C194)</f>
        <v>4294.7293881031519</v>
      </c>
      <c r="E194" s="128">
        <f>E$7*'Inputs and eligible population'!F$73*$C194+(D$7*'Inputs and eligible population'!E$73*('Unit costs'!$O$33/'Unit costs'!$O$28)*$C$174)</f>
        <v>5499.7838820846537</v>
      </c>
      <c r="F194" s="128">
        <f>F$7*'Inputs and eligible population'!G$73*$C194+(E$7*'Inputs and eligible population'!F$73*('Unit costs'!$O$33/'Unit costs'!$O$28)*$C$174)</f>
        <v>5117.0753244152202</v>
      </c>
      <c r="G194" s="128">
        <f>G$7*'Inputs and eligible population'!H$73*$C194+(F$7*'Inputs and eligible population'!G$73*('Unit costs'!$O$33/'Unit costs'!$O$28)*$C$174)</f>
        <v>4561.7843212101434</v>
      </c>
      <c r="H194" s="128">
        <f>H$7*'Inputs and eligible population'!I$73*$C194+(G$7*'Inputs and eligible population'!H$73*('Unit costs'!$O$33/'Unit costs'!$O$28)*$C$174)</f>
        <v>3995.3095940272196</v>
      </c>
      <c r="I194" s="128">
        <f>I$7*'Inputs and eligible population'!J$73*$C194+(H$7*'Inputs and eligible population'!I$73*('Unit costs'!$O$33/'Unit costs'!$O$28)*$C$174)</f>
        <v>3698.0669839707907</v>
      </c>
      <c r="J194" s="296"/>
      <c r="K194" s="747">
        <f>'Inputs and eligible population'!$Q$117</f>
        <v>43.28</v>
      </c>
      <c r="L194" s="299">
        <f>(D194*'Inputs and eligible population'!$I$117/60*'Inputs and eligible population'!$Q$117)/1000</f>
        <v>0</v>
      </c>
      <c r="M194" s="299">
        <f>(E194*'Inputs and eligible population'!$I$117/60*'Inputs and eligible population'!$Q$117)/1000</f>
        <v>0</v>
      </c>
      <c r="N194" s="299">
        <f>(F194*'Inputs and eligible population'!$I$117/60*'Inputs and eligible population'!$Q$117)/1000</f>
        <v>0</v>
      </c>
      <c r="O194" s="299">
        <f>(G194*'Inputs and eligible population'!$I$117/60*'Inputs and eligible population'!$Q$117)/1000</f>
        <v>0</v>
      </c>
      <c r="P194" s="299">
        <f>(H194*'Inputs and eligible population'!$I$117/60*'Inputs and eligible population'!$Q$117)/1000</f>
        <v>0</v>
      </c>
      <c r="Q194" s="299">
        <f>(I194*'Inputs and eligible population'!$I$117/60*'Inputs and eligible population'!$Q$117)/1000</f>
        <v>0</v>
      </c>
      <c r="R194" s="133"/>
      <c r="S194" s="133"/>
      <c r="T194" s="133"/>
      <c r="U194" s="133"/>
      <c r="V194" s="133"/>
      <c r="W194" s="133"/>
      <c r="X194" s="133"/>
      <c r="Y194" s="133"/>
      <c r="Z194" s="133"/>
      <c r="AJ194" s="292"/>
      <c r="AK194" s="292"/>
      <c r="AL194" s="292"/>
      <c r="AM194" s="292"/>
      <c r="AN194" s="292"/>
    </row>
    <row r="195" spans="1:40" x14ac:dyDescent="0.25">
      <c r="A195" s="296"/>
      <c r="B195" s="358" t="s">
        <v>1250</v>
      </c>
      <c r="C195" s="149">
        <f>'Inputs and eligible population'!J116</f>
        <v>6.24</v>
      </c>
      <c r="D195" s="128">
        <f>D$7*'Inputs and eligible population'!E$74*$C195+(D$7*'Inputs and eligible population'!E$74*$C195)</f>
        <v>15377.571105146275</v>
      </c>
      <c r="E195" s="128">
        <f>E$7*'Inputs and eligible population'!F$74*$C195+(D$7*'Inputs and eligible population'!E$74*$C195)</f>
        <v>14844.172076966734</v>
      </c>
      <c r="F195" s="128">
        <f>F$7*'Inputs and eligible population'!G$74*$C195+(E$7*'Inputs and eligible population'!F$74*$C195)</f>
        <v>13152.982842847159</v>
      </c>
      <c r="G195" s="128">
        <f>G$7*'Inputs and eligible population'!H$74*$C195+(F$7*'Inputs and eligible population'!G$74*$C195)</f>
        <v>10952.034126328303</v>
      </c>
      <c r="H195" s="128">
        <f>H$7*'Inputs and eligible population'!I$74*$C195+(G$7*'Inputs and eligible population'!H$74*$C195)</f>
        <v>8845.0436748938464</v>
      </c>
      <c r="I195" s="128">
        <f>I$7*'Inputs and eligible population'!J$74*$C195+(H$7*'Inputs and eligible population'!I$74*$C195)</f>
        <v>7818.7242067260413</v>
      </c>
      <c r="J195" s="296"/>
      <c r="K195" s="747">
        <f>'Inputs and eligible population'!$Q$117</f>
        <v>43.28</v>
      </c>
      <c r="L195" s="299">
        <f>(D195*'Inputs and eligible population'!$J$117/60*'Inputs and eligible population'!$Q$117)/1000</f>
        <v>0</v>
      </c>
      <c r="M195" s="299">
        <f>(E195*'Inputs and eligible population'!$J$117/60*'Inputs and eligible population'!$Q$117)/1000</f>
        <v>0</v>
      </c>
      <c r="N195" s="299">
        <f>(F195*'Inputs and eligible population'!$J$117/60*'Inputs and eligible population'!$Q$117)/1000</f>
        <v>0</v>
      </c>
      <c r="O195" s="299">
        <f>(G195*'Inputs and eligible population'!$J$117/60*'Inputs and eligible population'!$Q$117)/1000</f>
        <v>0</v>
      </c>
      <c r="P195" s="299">
        <f>(H195*'Inputs and eligible population'!$J$117/60*'Inputs and eligible population'!$Q$117)/1000</f>
        <v>0</v>
      </c>
      <c r="Q195" s="299">
        <f>(I195*'Inputs and eligible population'!$J$117/60*'Inputs and eligible population'!$Q$117)/1000</f>
        <v>0</v>
      </c>
      <c r="R195" s="133"/>
      <c r="S195" s="133"/>
      <c r="T195" s="133"/>
      <c r="U195" s="133"/>
      <c r="V195" s="133"/>
      <c r="W195" s="133"/>
      <c r="X195" s="133"/>
      <c r="Y195" s="133"/>
      <c r="Z195" s="133"/>
      <c r="AJ195" s="292"/>
      <c r="AK195" s="292"/>
      <c r="AL195" s="292"/>
      <c r="AM195" s="292"/>
      <c r="AN195" s="292"/>
    </row>
    <row r="196" spans="1:40" x14ac:dyDescent="0.25">
      <c r="A196" s="296"/>
      <c r="B196" s="289"/>
      <c r="C196" s="209"/>
      <c r="D196" s="187">
        <f>SUM(D191:D195)</f>
        <v>23183.955236033933</v>
      </c>
      <c r="E196" s="187">
        <f t="shared" ref="E196:I196" si="85">SUM(E191:E195)</f>
        <v>24630.233207832443</v>
      </c>
      <c r="F196" s="187">
        <f t="shared" si="85"/>
        <v>24345.068409145235</v>
      </c>
      <c r="G196" s="187">
        <f t="shared" si="85"/>
        <v>23764.943609724622</v>
      </c>
      <c r="H196" s="187">
        <f t="shared" si="85"/>
        <v>23252.121509416243</v>
      </c>
      <c r="I196" s="187">
        <f t="shared" si="85"/>
        <v>22727.201050259224</v>
      </c>
      <c r="J196" s="296"/>
      <c r="K196" s="296"/>
      <c r="L196" s="300">
        <f>SUM(L191:L195)</f>
        <v>0</v>
      </c>
      <c r="M196" s="300">
        <f t="shared" ref="M196:Q196" si="86">SUM(M191:M195)</f>
        <v>0</v>
      </c>
      <c r="N196" s="300">
        <f t="shared" si="86"/>
        <v>0</v>
      </c>
      <c r="O196" s="300">
        <f t="shared" si="86"/>
        <v>0</v>
      </c>
      <c r="P196" s="300">
        <f t="shared" si="86"/>
        <v>0</v>
      </c>
      <c r="Q196" s="300">
        <f t="shared" si="86"/>
        <v>0</v>
      </c>
      <c r="R196" s="133"/>
      <c r="S196" s="133"/>
      <c r="T196" s="133"/>
      <c r="U196" s="133"/>
      <c r="V196" s="133"/>
      <c r="W196" s="133"/>
      <c r="X196" s="133"/>
      <c r="Y196" s="133"/>
      <c r="Z196" s="133"/>
      <c r="AJ196" s="292"/>
      <c r="AK196" s="292"/>
      <c r="AL196" s="292"/>
      <c r="AM196" s="292"/>
      <c r="AN196" s="292"/>
    </row>
    <row r="197" spans="1:40" x14ac:dyDescent="0.25">
      <c r="A197" s="296"/>
      <c r="B197" s="312"/>
      <c r="C197" s="262"/>
      <c r="D197" s="291" t="s">
        <v>1189</v>
      </c>
      <c r="E197" s="187">
        <f>E196-$D$196</f>
        <v>1446.2779717985104</v>
      </c>
      <c r="F197" s="187">
        <f>F196-$D$196</f>
        <v>1161.1131731113019</v>
      </c>
      <c r="G197" s="187">
        <f>G196-$D$196</f>
        <v>580.9883736906886</v>
      </c>
      <c r="H197" s="187">
        <f>H196-$D$196</f>
        <v>68.166273382310465</v>
      </c>
      <c r="I197" s="187">
        <f>I196-$D$196</f>
        <v>-456.75418577470919</v>
      </c>
      <c r="J197" s="296"/>
      <c r="K197" s="296"/>
      <c r="L197" s="592"/>
      <c r="M197" s="300">
        <f>M196-$L$196</f>
        <v>0</v>
      </c>
      <c r="N197" s="300">
        <f>N196-$L$196</f>
        <v>0</v>
      </c>
      <c r="O197" s="300">
        <f>O196-$L$196</f>
        <v>0</v>
      </c>
      <c r="P197" s="300">
        <f>P196-$L$196</f>
        <v>0</v>
      </c>
      <c r="Q197" s="300">
        <f>Q196-$L$196</f>
        <v>0</v>
      </c>
      <c r="V197" s="133"/>
    </row>
    <row r="198" spans="1:40" x14ac:dyDescent="0.25">
      <c r="A198" s="296"/>
      <c r="B198" s="296"/>
      <c r="C198" s="225"/>
      <c r="D198" s="296"/>
      <c r="E198" s="296"/>
      <c r="F198" s="296"/>
      <c r="G198" s="296"/>
      <c r="H198" s="296"/>
      <c r="I198" s="225"/>
      <c r="J198" s="225"/>
      <c r="K198" s="225"/>
      <c r="L198" s="225"/>
      <c r="M198" s="225"/>
      <c r="N198" s="225"/>
      <c r="O198" s="225"/>
      <c r="P198" s="225"/>
      <c r="Q198" s="225"/>
      <c r="V198" s="133"/>
    </row>
    <row r="199" spans="1:40" x14ac:dyDescent="0.25">
      <c r="A199" s="296"/>
      <c r="B199" s="409" t="s">
        <v>1190</v>
      </c>
      <c r="C199" s="410"/>
      <c r="D199" s="410"/>
      <c r="E199" s="410"/>
      <c r="F199" s="410"/>
      <c r="G199" s="410"/>
      <c r="H199" s="410"/>
      <c r="I199" s="224"/>
      <c r="J199" s="225"/>
      <c r="K199" s="225"/>
      <c r="L199" s="443"/>
      <c r="M199" s="443"/>
      <c r="N199" s="443"/>
      <c r="O199" s="443"/>
      <c r="P199" s="443"/>
      <c r="Q199" s="443"/>
      <c r="V199" s="133"/>
    </row>
    <row r="200" spans="1:40" ht="60" x14ac:dyDescent="0.25">
      <c r="A200" s="296"/>
      <c r="B200" s="285" t="s">
        <v>131</v>
      </c>
      <c r="C200" s="166" t="s">
        <v>1191</v>
      </c>
      <c r="D200" s="434" t="s">
        <v>743</v>
      </c>
      <c r="E200" s="261" t="s">
        <v>51</v>
      </c>
      <c r="F200" s="261" t="s">
        <v>52</v>
      </c>
      <c r="G200" s="165" t="s">
        <v>744</v>
      </c>
      <c r="H200" s="165" t="s">
        <v>745</v>
      </c>
      <c r="I200" s="261" t="s">
        <v>746</v>
      </c>
      <c r="J200" s="296"/>
      <c r="K200" s="746" t="s">
        <v>1252</v>
      </c>
      <c r="L200" s="434" t="s">
        <v>743</v>
      </c>
      <c r="M200" s="261" t="s">
        <v>51</v>
      </c>
      <c r="N200" s="261" t="s">
        <v>52</v>
      </c>
      <c r="O200" s="165" t="s">
        <v>744</v>
      </c>
      <c r="P200" s="165" t="s">
        <v>745</v>
      </c>
      <c r="Q200" s="261" t="s">
        <v>746</v>
      </c>
      <c r="V200" s="133"/>
    </row>
    <row r="201" spans="1:40" x14ac:dyDescent="0.25">
      <c r="A201" s="296"/>
      <c r="B201" s="358" t="s">
        <v>1247</v>
      </c>
      <c r="C201" s="149">
        <f>'Inputs and eligible population'!F118</f>
        <v>6.76</v>
      </c>
      <c r="D201" s="128">
        <f>D$7*'Inputs and eligible population'!E$70*$C201</f>
        <v>0</v>
      </c>
      <c r="E201" s="128">
        <f>E$7*'Inputs and eligible population'!F$70*$C201</f>
        <v>805.38491550574849</v>
      </c>
      <c r="F201" s="128">
        <f>F$7*'Inputs and eligible population'!G$70*$C201+(E$7*'Inputs and eligible population'!F$70*('Unit costs'!$O$14/'Unit costs'!$O$9)*$C201)</f>
        <v>1890.5079706985759</v>
      </c>
      <c r="G201" s="128">
        <f>G$7*'Inputs and eligible population'!H$70*$C201+(F$7*'Inputs and eligible population'!G$70*('Unit costs'!$O$14/'Unit costs'!$O$9)*$C201)</f>
        <v>2944.3587932907494</v>
      </c>
      <c r="H201" s="128">
        <f>H$7*'Inputs and eligible population'!I$70*$C201+(G$7*'Inputs and eligible population'!H$70*('Unit costs'!$O$14/'Unit costs'!$O$9)*$C201)</f>
        <v>4007.5334198272885</v>
      </c>
      <c r="I201" s="128">
        <f>I$7*'Inputs and eligible population'!J$70*$C201+(H$7*'Inputs and eligible population'!I$70*('Unit costs'!$O$14/'Unit costs'!$O$9)*$C201)</f>
        <v>4179.0515611889314</v>
      </c>
      <c r="J201" s="296"/>
      <c r="K201" s="747">
        <f>'Inputs and eligible population'!$Q$119</f>
        <v>31.51</v>
      </c>
      <c r="L201" s="299">
        <f>(D201*'Inputs and eligible population'!$F$119/60*'Inputs and eligible population'!$Q$119)/1000</f>
        <v>0</v>
      </c>
      <c r="M201" s="299">
        <f>(E201*'Inputs and eligible population'!$F$119/60*'Inputs and eligible population'!$Q$119)/1000</f>
        <v>0</v>
      </c>
      <c r="N201" s="299">
        <f>(F201*'Inputs and eligible population'!$F$119/60*'Inputs and eligible population'!$Q$119)/1000</f>
        <v>0</v>
      </c>
      <c r="O201" s="299">
        <f>(G201*'Inputs and eligible population'!$F$119/60*'Inputs and eligible population'!$Q$119)/1000</f>
        <v>0</v>
      </c>
      <c r="P201" s="299">
        <f>(H201*'Inputs and eligible population'!$F$119/60*'Inputs and eligible population'!$Q$119)/1000</f>
        <v>0</v>
      </c>
      <c r="Q201" s="299">
        <f>(I201*'Inputs and eligible population'!$F$119/60*'Inputs and eligible population'!$Q$119)/1000</f>
        <v>0</v>
      </c>
      <c r="V201" s="133"/>
    </row>
    <row r="202" spans="1:40" x14ac:dyDescent="0.25">
      <c r="A202" s="296"/>
      <c r="B202" s="358" t="s">
        <v>1249</v>
      </c>
      <c r="C202" s="149">
        <f>'Inputs and eligible population'!G118</f>
        <v>6.76</v>
      </c>
      <c r="D202" s="128">
        <f>D$7*'Inputs and eligible population'!E$71*$C202+(D$7*'Inputs and eligible population'!E$71*('Unit costs'!$O$33/'Unit costs'!$O$28)*$C202)</f>
        <v>979.49968500598197</v>
      </c>
      <c r="E202" s="128">
        <f>E$7*'Inputs and eligible population'!F$71*$C202+(D$7*'Inputs and eligible population'!E$71*('Unit costs'!$O$33/'Unit costs'!$O$28)*$C202)</f>
        <v>1205.4398922018709</v>
      </c>
      <c r="F202" s="128">
        <f>F$7*'Inputs and eligible population'!G$71*$C202+(E$7*'Inputs and eligible population'!F$71*('Unit costs'!$O$33/'Unit costs'!$O$28)*$C202)</f>
        <v>2328.0636658897811</v>
      </c>
      <c r="G202" s="128">
        <f>G$7*'Inputs and eligible population'!H$71*$C202+(F$7*'Inputs and eligible population'!G$71*('Unit costs'!$O$33/'Unit costs'!$O$28)*$C202)</f>
        <v>3907.0738337229682</v>
      </c>
      <c r="H202" s="128">
        <f>H$7*'Inputs and eligible population'!I$71*$C202+(G$7*'Inputs and eligible population'!H$71*('Unit costs'!$O$33/'Unit costs'!$O$28)*$C202)</f>
        <v>5465.5294500693308</v>
      </c>
      <c r="I202" s="128">
        <f>I$7*'Inputs and eligible population'!J$71*$C202+(H$7*'Inputs and eligible population'!I$71*('Unit costs'!$O$33/'Unit costs'!$O$28)*$C202)</f>
        <v>6141.7898908540101</v>
      </c>
      <c r="J202" s="296"/>
      <c r="K202" s="747">
        <f>'Inputs and eligible population'!$Q$119</f>
        <v>31.51</v>
      </c>
      <c r="L202" s="299">
        <f>(D202*'Inputs and eligible population'!$G$119/60*'Inputs and eligible population'!$Q$119)/1000</f>
        <v>0</v>
      </c>
      <c r="M202" s="299">
        <f>(E202*'Inputs and eligible population'!$G$119/60*'Inputs and eligible population'!$Q$119)/1000</f>
        <v>0</v>
      </c>
      <c r="N202" s="299">
        <f>(F202*'Inputs and eligible population'!$G$119/60*'Inputs and eligible population'!$Q$119)/1000</f>
        <v>0</v>
      </c>
      <c r="O202" s="299">
        <f>(G202*'Inputs and eligible population'!$G$119/60*'Inputs and eligible population'!$Q$119)/1000</f>
        <v>0</v>
      </c>
      <c r="P202" s="299">
        <f>(H202*'Inputs and eligible population'!$G$119/60*'Inputs and eligible population'!$Q$119)/1000</f>
        <v>0</v>
      </c>
      <c r="Q202" s="299">
        <f>(I202*'Inputs and eligible population'!$G$119/60*'Inputs and eligible population'!$Q$119)/1000</f>
        <v>0</v>
      </c>
      <c r="V202" s="133"/>
    </row>
    <row r="203" spans="1:40" x14ac:dyDescent="0.25">
      <c r="A203" s="296"/>
      <c r="B203" s="358" t="s">
        <v>1248</v>
      </c>
      <c r="C203" s="149">
        <f>'Inputs and eligible population'!H118</f>
        <v>6.76</v>
      </c>
      <c r="D203" s="128">
        <f>D$7*'Inputs and eligible population'!E$72*$C203</f>
        <v>2824.7929530105662</v>
      </c>
      <c r="E203" s="128">
        <f>E$7*'Inputs and eligible population'!F$72*$C203</f>
        <v>2632.642211805191</v>
      </c>
      <c r="F203" s="128">
        <f>F$7*'Inputs and eligible population'!G$72*$C203</f>
        <v>2362.6894587847364</v>
      </c>
      <c r="G203" s="128">
        <f>G$7*'Inputs and eligible population'!H$72*$C203</f>
        <v>2087.2862986879695</v>
      </c>
      <c r="H203" s="128">
        <f>H$7*'Inputs and eligible population'!I$72*$C203</f>
        <v>1806.3527239731559</v>
      </c>
      <c r="I203" s="128">
        <f>I$7*'Inputs and eligible population'!J$72*$C203</f>
        <v>1823.7692291496483</v>
      </c>
      <c r="J203" s="296"/>
      <c r="K203" s="747">
        <f>'Inputs and eligible population'!$Q$119</f>
        <v>31.51</v>
      </c>
      <c r="L203" s="299">
        <f>(D203*'Inputs and eligible population'!$H$119/60*'Inputs and eligible population'!$Q$119)/1000</f>
        <v>0</v>
      </c>
      <c r="M203" s="299">
        <f>(E203*'Inputs and eligible population'!$H$119/60*'Inputs and eligible population'!$Q$119)/1000</f>
        <v>0</v>
      </c>
      <c r="N203" s="299">
        <f>(F203*'Inputs and eligible population'!$H$119/60*'Inputs and eligible population'!$Q$119)/1000</f>
        <v>0</v>
      </c>
      <c r="O203" s="299">
        <f>(G203*'Inputs and eligible population'!$H$119/60*'Inputs and eligible population'!$Q$119)/1000</f>
        <v>0</v>
      </c>
      <c r="P203" s="299">
        <f>(H203*'Inputs and eligible population'!$H$119/60*'Inputs and eligible population'!$Q$119)/1000</f>
        <v>0</v>
      </c>
      <c r="Q203" s="299">
        <f>(I203*'Inputs and eligible population'!$H$119/60*'Inputs and eligible population'!$Q$119)/1000</f>
        <v>0</v>
      </c>
      <c r="V203" s="133"/>
    </row>
    <row r="204" spans="1:40" x14ac:dyDescent="0.25">
      <c r="A204" s="296"/>
      <c r="B204" s="358" t="s">
        <v>1259</v>
      </c>
      <c r="C204" s="149">
        <f>'Inputs and eligible population'!I118</f>
        <v>6.76</v>
      </c>
      <c r="D204" s="128">
        <f>D$7*'Inputs and eligible population'!E$73*$C204+(D$7*'Inputs and eligible population'!E$73*('Unit costs'!$O$33/'Unit costs'!$O$28)*$C204)</f>
        <v>4652.6235037784136</v>
      </c>
      <c r="E204" s="128">
        <f>E$7*'Inputs and eligible population'!F$73*$C204+(D$7*'Inputs and eligible population'!E$73*('Unit costs'!$O$33/'Unit costs'!$O$28)*$C$174)</f>
        <v>5702.294821454283</v>
      </c>
      <c r="F204" s="128">
        <f>F$7*'Inputs and eligible population'!G$73*$C204+(E$7*'Inputs and eligible population'!F$73*('Unit costs'!$O$33/'Unit costs'!$O$28)*$C$174)</f>
        <v>5298.8206673986606</v>
      </c>
      <c r="G204" s="128">
        <f>G$7*'Inputs and eligible population'!H$73*$C204+(F$7*'Inputs and eligible population'!G$73*('Unit costs'!$O$33/'Unit costs'!$O$28)*$C$174)</f>
        <v>4722.3448057246023</v>
      </c>
      <c r="H204" s="128">
        <f>H$7*'Inputs and eligible population'!I$73*$C204+(G$7*'Inputs and eligible population'!H$73*('Unit costs'!$O$33/'Unit costs'!$O$28)*$C$174)</f>
        <v>4134.2598035636156</v>
      </c>
      <c r="I204" s="128">
        <f>I$7*'Inputs and eligible population'!J$73*$C204+(H$7*'Inputs and eligible population'!I$73*('Unit costs'!$O$33/'Unit costs'!$O$28)*$C$174)</f>
        <v>3838.3569246746092</v>
      </c>
      <c r="J204" s="296"/>
      <c r="K204" s="747">
        <f>'Inputs and eligible population'!$Q$119</f>
        <v>31.51</v>
      </c>
      <c r="L204" s="299">
        <f>(D204*'Inputs and eligible population'!$I$119/60*'Inputs and eligible population'!$Q$119)/1000</f>
        <v>0</v>
      </c>
      <c r="M204" s="299">
        <f>(E204*'Inputs and eligible population'!$I$119/60*'Inputs and eligible population'!$Q$119)/1000</f>
        <v>0</v>
      </c>
      <c r="N204" s="299">
        <f>(F204*'Inputs and eligible population'!$I$119/60*'Inputs and eligible population'!$Q$119)/1000</f>
        <v>0</v>
      </c>
      <c r="O204" s="299">
        <f>(G204*'Inputs and eligible population'!$I$119/60*'Inputs and eligible population'!$Q$119)/1000</f>
        <v>0</v>
      </c>
      <c r="P204" s="299">
        <f>(H204*'Inputs and eligible population'!$I$119/60*'Inputs and eligible population'!$Q$119)/1000</f>
        <v>0</v>
      </c>
      <c r="Q204" s="299">
        <f>(I204*'Inputs and eligible population'!$I$119/60*'Inputs and eligible population'!$Q$119)/1000</f>
        <v>0</v>
      </c>
      <c r="V204" s="133"/>
    </row>
    <row r="205" spans="1:40" x14ac:dyDescent="0.25">
      <c r="A205" s="296"/>
      <c r="B205" s="358" t="s">
        <v>1250</v>
      </c>
      <c r="C205" s="149">
        <f>'Inputs and eligible population'!J118</f>
        <v>6.76</v>
      </c>
      <c r="D205" s="128">
        <f>D$7*'Inputs and eligible population'!E$74*$C205+(D$7*'Inputs and eligible population'!E$74*$C205)</f>
        <v>16659.035363908464</v>
      </c>
      <c r="E205" s="128">
        <f>E$7*'Inputs and eligible population'!F$74*$C205+(D$7*'Inputs and eligible population'!E$74*$C205)</f>
        <v>16081.186416713961</v>
      </c>
      <c r="F205" s="128">
        <f>F$7*'Inputs and eligible population'!G$74*$C205+(E$7*'Inputs and eligible population'!F$74*$C205)</f>
        <v>14249.064746417755</v>
      </c>
      <c r="G205" s="128">
        <f>G$7*'Inputs and eligible population'!H$74*$C205+(F$7*'Inputs and eligible population'!G$74*$C205)</f>
        <v>11864.703636855658</v>
      </c>
      <c r="H205" s="128">
        <f>H$7*'Inputs and eligible population'!I$74*$C205+(G$7*'Inputs and eligible population'!H$74*$C205)</f>
        <v>9582.130647801665</v>
      </c>
      <c r="I205" s="128">
        <f>I$7*'Inputs and eligible population'!J$74*$C205+(H$7*'Inputs and eligible population'!I$74*$C205)</f>
        <v>8470.2845572865444</v>
      </c>
      <c r="J205" s="296"/>
      <c r="K205" s="747">
        <f>'Inputs and eligible population'!$Q$119</f>
        <v>31.51</v>
      </c>
      <c r="L205" s="299">
        <f>(D205*'Inputs and eligible population'!$J$119/60*'Inputs and eligible population'!$Q$119)/1000</f>
        <v>0</v>
      </c>
      <c r="M205" s="299">
        <f>(E205*'Inputs and eligible population'!$J$119/60*'Inputs and eligible population'!$Q$119)/1000</f>
        <v>0</v>
      </c>
      <c r="N205" s="299">
        <f>(F205*'Inputs and eligible population'!$J$119/60*'Inputs and eligible population'!$Q$119)/1000</f>
        <v>0</v>
      </c>
      <c r="O205" s="299">
        <f>(G205*'Inputs and eligible population'!$J$119/60*'Inputs and eligible population'!$Q$119)/1000</f>
        <v>0</v>
      </c>
      <c r="P205" s="299">
        <f>(H205*'Inputs and eligible population'!$J$119/60*'Inputs and eligible population'!$Q$119)/1000</f>
        <v>0</v>
      </c>
      <c r="Q205" s="299">
        <f>(I205*'Inputs and eligible population'!$J$119/60*'Inputs and eligible population'!$Q$119)/1000</f>
        <v>0</v>
      </c>
      <c r="V205" s="133"/>
    </row>
    <row r="206" spans="1:40" x14ac:dyDescent="0.25">
      <c r="A206" s="296"/>
      <c r="B206" s="289"/>
      <c r="C206" s="209"/>
      <c r="D206" s="187">
        <f>SUM(D201:D205)</f>
        <v>25115.951505703426</v>
      </c>
      <c r="E206" s="187">
        <f t="shared" ref="E206:I206" si="87">SUM(E201:E205)</f>
        <v>26426.948257681055</v>
      </c>
      <c r="F206" s="187">
        <f t="shared" si="87"/>
        <v>26129.146509189508</v>
      </c>
      <c r="G206" s="187">
        <f t="shared" si="87"/>
        <v>25525.767368281948</v>
      </c>
      <c r="H206" s="187">
        <f t="shared" si="87"/>
        <v>24995.806045235055</v>
      </c>
      <c r="I206" s="187">
        <f t="shared" si="87"/>
        <v>24453.252163153742</v>
      </c>
      <c r="J206" s="296"/>
      <c r="K206" s="296"/>
      <c r="L206" s="300">
        <f>SUM(L201:L205)</f>
        <v>0</v>
      </c>
      <c r="M206" s="300">
        <f t="shared" ref="M206:Q206" si="88">SUM(M201:M205)</f>
        <v>0</v>
      </c>
      <c r="N206" s="300">
        <f t="shared" si="88"/>
        <v>0</v>
      </c>
      <c r="O206" s="300">
        <f t="shared" si="88"/>
        <v>0</v>
      </c>
      <c r="P206" s="300">
        <f t="shared" si="88"/>
        <v>0</v>
      </c>
      <c r="Q206" s="300">
        <f t="shared" si="88"/>
        <v>0</v>
      </c>
      <c r="V206" s="133"/>
    </row>
    <row r="207" spans="1:40" x14ac:dyDescent="0.25">
      <c r="A207" s="296"/>
      <c r="B207" s="312"/>
      <c r="C207" s="262"/>
      <c r="D207" s="291" t="s">
        <v>1192</v>
      </c>
      <c r="E207" s="187">
        <f>E206-$D$206</f>
        <v>1310.9967519776292</v>
      </c>
      <c r="F207" s="187">
        <f>F206-$D$206</f>
        <v>1013.195003486082</v>
      </c>
      <c r="G207" s="187">
        <f>G206-$D$206</f>
        <v>409.81586257852177</v>
      </c>
      <c r="H207" s="187">
        <f>H206-$D$206</f>
        <v>-120.14546046837131</v>
      </c>
      <c r="I207" s="187">
        <f>I206-$D$206</f>
        <v>-662.69934254968393</v>
      </c>
      <c r="J207" s="296"/>
      <c r="K207" s="296"/>
      <c r="L207" s="592"/>
      <c r="M207" s="300">
        <f>M206-$L$206</f>
        <v>0</v>
      </c>
      <c r="N207" s="300">
        <f>N206-$L$206</f>
        <v>0</v>
      </c>
      <c r="O207" s="300">
        <f>O206-$L$206</f>
        <v>0</v>
      </c>
      <c r="P207" s="300">
        <f>P206-$L$206</f>
        <v>0</v>
      </c>
      <c r="Q207" s="300">
        <f>Q206-$L$206</f>
        <v>0</v>
      </c>
      <c r="V207" s="133"/>
    </row>
    <row r="208" spans="1:40" x14ac:dyDescent="0.25">
      <c r="A208" s="296"/>
      <c r="B208" s="296"/>
      <c r="C208" s="225"/>
      <c r="D208" s="296"/>
      <c r="E208" s="296"/>
      <c r="F208" s="296"/>
      <c r="G208" s="296"/>
      <c r="H208" s="296"/>
      <c r="I208" s="225"/>
      <c r="J208" s="225"/>
      <c r="K208" s="225"/>
      <c r="L208" s="225"/>
      <c r="M208" s="225"/>
      <c r="N208" s="225"/>
      <c r="O208" s="225"/>
      <c r="P208" s="225"/>
      <c r="Q208" s="225"/>
      <c r="V208" s="133"/>
    </row>
    <row r="209" spans="1:40" x14ac:dyDescent="0.25">
      <c r="A209" s="297"/>
      <c r="B209" s="336" t="s">
        <v>103</v>
      </c>
      <c r="C209" s="322"/>
      <c r="D209" s="323"/>
      <c r="E209" s="324"/>
      <c r="F209" s="325"/>
      <c r="G209" s="325"/>
      <c r="H209" s="325"/>
      <c r="I209" s="444"/>
      <c r="J209" s="297"/>
      <c r="K209" s="297"/>
      <c r="L209" s="297"/>
      <c r="M209" s="297"/>
      <c r="N209" s="297"/>
      <c r="O209" s="297"/>
      <c r="P209" s="297"/>
      <c r="Q209" s="297"/>
      <c r="R209" s="133"/>
      <c r="S209" s="133"/>
      <c r="T209" s="133"/>
      <c r="U209" s="133"/>
      <c r="V209" s="133"/>
      <c r="W209" s="133"/>
      <c r="X209" s="133"/>
      <c r="Y209" s="133"/>
      <c r="Z209" s="133"/>
      <c r="AJ209" s="292"/>
      <c r="AK209" s="292"/>
      <c r="AL209" s="292"/>
      <c r="AM209" s="292"/>
      <c r="AN209" s="292"/>
    </row>
    <row r="210" spans="1:40" x14ac:dyDescent="0.25">
      <c r="A210" s="297"/>
      <c r="B210" s="411" t="s">
        <v>777</v>
      </c>
      <c r="C210" s="412"/>
      <c r="D210" s="412"/>
      <c r="E210" s="412"/>
      <c r="F210" s="412"/>
      <c r="G210" s="412"/>
      <c r="H210" s="412"/>
      <c r="I210" s="226"/>
      <c r="J210" s="448"/>
      <c r="K210" s="448"/>
      <c r="L210" s="449"/>
      <c r="M210" s="449"/>
      <c r="N210" s="449"/>
      <c r="O210" s="449"/>
      <c r="P210" s="449"/>
      <c r="Q210" s="449"/>
      <c r="R210" s="133"/>
      <c r="S210" s="133"/>
      <c r="T210" s="133"/>
      <c r="U210" s="133"/>
      <c r="V210" s="133"/>
      <c r="W210" s="133"/>
      <c r="X210" s="133"/>
      <c r="Y210" s="133"/>
      <c r="Z210" s="133"/>
      <c r="AJ210" s="292"/>
      <c r="AK210" s="292"/>
      <c r="AL210" s="292"/>
      <c r="AM210" s="292"/>
      <c r="AN210" s="292"/>
    </row>
    <row r="211" spans="1:40" ht="45" x14ac:dyDescent="0.25">
      <c r="A211" s="297"/>
      <c r="B211" s="285" t="s">
        <v>131</v>
      </c>
      <c r="C211" s="211"/>
      <c r="D211" s="434" t="s">
        <v>743</v>
      </c>
      <c r="E211" s="261" t="s">
        <v>51</v>
      </c>
      <c r="F211" s="261" t="s">
        <v>52</v>
      </c>
      <c r="G211" s="165" t="s">
        <v>744</v>
      </c>
      <c r="H211" s="165" t="s">
        <v>745</v>
      </c>
      <c r="I211" s="261" t="s">
        <v>746</v>
      </c>
      <c r="J211" s="297"/>
      <c r="K211" s="297"/>
      <c r="L211" s="434" t="s">
        <v>743</v>
      </c>
      <c r="M211" s="261" t="s">
        <v>51</v>
      </c>
      <c r="N211" s="261" t="s">
        <v>52</v>
      </c>
      <c r="O211" s="165" t="s">
        <v>744</v>
      </c>
      <c r="P211" s="165" t="s">
        <v>745</v>
      </c>
      <c r="Q211" s="261" t="s">
        <v>746</v>
      </c>
      <c r="R211" s="133"/>
      <c r="S211" s="133"/>
      <c r="T211" s="133"/>
      <c r="U211" s="133"/>
      <c r="V211" s="133"/>
      <c r="W211" s="133"/>
      <c r="X211" s="133"/>
      <c r="Y211" s="133"/>
      <c r="Z211" s="133"/>
      <c r="AJ211" s="292"/>
      <c r="AK211" s="292"/>
      <c r="AL211" s="292"/>
      <c r="AM211" s="292"/>
      <c r="AN211" s="292"/>
    </row>
    <row r="212" spans="1:40" x14ac:dyDescent="0.25">
      <c r="A212" s="297"/>
      <c r="B212" s="253" t="s">
        <v>1106</v>
      </c>
      <c r="C212" s="168"/>
      <c r="D212" s="128">
        <f>('Unit costs'!$C137*'Financial impact (cash)'!D$14)+('Unit costs'!$E137*'Financial impact (cash)'!D$16)+('Unit costs'!$F137*'Financial impact (cash)'!D$17)+('Unit costs'!$D137*'Financial impact (cash)'!D$15)+('Unit costs'!$G137*'Financial impact (cash)'!D$18)</f>
        <v>318.77843176957288</v>
      </c>
      <c r="E212" s="128">
        <f>('Unit costs'!$C137*'Financial impact (cash)'!E$14)+('Unit costs'!$E137*'Financial impact (cash)'!E$16)+('Unit costs'!$F137*'Financial impact (cash)'!E$17)+('Unit costs'!$D137*'Financial impact (cash)'!E$15)+('Unit costs'!$G137*'Financial impact (cash)'!E$18)</f>
        <v>324.93521916523753</v>
      </c>
      <c r="F212" s="128">
        <f>('Unit costs'!$C137*'Financial impact (cash)'!F$14)+('Unit costs'!$E137*'Financial impact (cash)'!F$16)+('Unit costs'!$F137*'Financial impact (cash)'!F$17)+('Unit costs'!$D137*'Financial impact (cash)'!F$15)+('Unit costs'!$G137*'Financial impact (cash)'!F$18)</f>
        <v>335.00172252925654</v>
      </c>
      <c r="G212" s="128">
        <f>('Unit costs'!$C137*'Financial impact (cash)'!G$14)+('Unit costs'!$E137*'Financial impact (cash)'!G$16)+('Unit costs'!$F137*'Financial impact (cash)'!G$17)+('Unit costs'!$D137*'Financial impact (cash)'!G$15)+('Unit costs'!$G137*'Financial impact (cash)'!G$18)</f>
        <v>344.45539849375257</v>
      </c>
      <c r="H212" s="128">
        <f>('Unit costs'!$C137*'Financial impact (cash)'!H$14)+('Unit costs'!$E137*'Financial impact (cash)'!H$16)+('Unit costs'!$F137*'Financial impact (cash)'!H$17)+('Unit costs'!$D137*'Financial impact (cash)'!H$15)+('Unit costs'!$G137*'Financial impact (cash)'!H$18)</f>
        <v>354.06023225392426</v>
      </c>
      <c r="I212" s="128">
        <f>('Unit costs'!$C137*'Financial impact (cash)'!I$14)+('Unit costs'!$E137*'Financial impact (cash)'!I$16)+('Unit costs'!$F137*'Financial impact (cash)'!I$17)+('Unit costs'!$D137*'Financial impact (cash)'!I$15)+('Unit costs'!$G137*'Financial impact (cash)'!I$18)</f>
        <v>357.4740128439505</v>
      </c>
      <c r="J212" s="297"/>
      <c r="K212" s="297"/>
      <c r="L212" s="299">
        <f>(D212*'Unit costs'!$P137)/1000</f>
        <v>220.72968147466784</v>
      </c>
      <c r="M212" s="299">
        <f>(E212*'Unit costs'!$P137)/1000</f>
        <v>224.99278582965329</v>
      </c>
      <c r="N212" s="299">
        <f>(F212*'Unit costs'!$P137)/1000</f>
        <v>231.96306944880899</v>
      </c>
      <c r="O212" s="299">
        <f>(G212*'Unit costs'!$P137)/1000</f>
        <v>238.50901696735468</v>
      </c>
      <c r="P212" s="299">
        <f>(H212*'Unit costs'!$P137)/1000</f>
        <v>245.15962969774267</v>
      </c>
      <c r="Q212" s="299">
        <f>(I212*'Unit costs'!$P137)/1000</f>
        <v>247.52341164521638</v>
      </c>
      <c r="R212" s="133"/>
      <c r="S212" s="133"/>
      <c r="T212" s="133"/>
      <c r="U212" s="133"/>
      <c r="V212" s="133"/>
      <c r="W212" s="133"/>
      <c r="X212" s="133"/>
      <c r="Y212" s="133"/>
      <c r="Z212" s="133"/>
      <c r="AJ212" s="292"/>
      <c r="AK212" s="292"/>
      <c r="AL212" s="292"/>
      <c r="AM212" s="292"/>
      <c r="AN212" s="292"/>
    </row>
    <row r="213" spans="1:40" x14ac:dyDescent="0.25">
      <c r="A213" s="297"/>
      <c r="B213" s="253" t="s">
        <v>1107</v>
      </c>
      <c r="C213" s="168"/>
      <c r="D213" s="128">
        <f>('Unit costs'!$C138*'Financial impact (cash)'!D$14)+('Unit costs'!$E138*'Financial impact (cash)'!D$16)+('Unit costs'!$F138*'Financial impact (cash)'!D$17)+('Unit costs'!$D138*'Financial impact (cash)'!D$15)+('Unit costs'!$G138*'Financial impact (cash)'!D$18)</f>
        <v>0</v>
      </c>
      <c r="E213" s="128">
        <f>('Unit costs'!$C138*'Financial impact (cash)'!E$14)+('Unit costs'!$E138*'Financial impact (cash)'!E$16)+('Unit costs'!$F138*'Financial impact (cash)'!E$17)+('Unit costs'!$D138*'Financial impact (cash)'!E$15)+('Unit costs'!$G138*'Financial impact (cash)'!E$18)</f>
        <v>9.7755717251494278</v>
      </c>
      <c r="F213" s="128">
        <f>('Unit costs'!$C138*'Financial impact (cash)'!F$14)+('Unit costs'!$E138*'Financial impact (cash)'!F$16)+('Unit costs'!$F138*'Financial impact (cash)'!F$17)+('Unit costs'!$D138*'Financial impact (cash)'!F$15)+('Unit costs'!$G138*'Financial impact (cash)'!F$18)</f>
        <v>21.508324613425</v>
      </c>
      <c r="G213" s="128">
        <f>('Unit costs'!$C138*'Financial impact (cash)'!G$14)+('Unit costs'!$E138*'Financial impact (cash)'!G$16)+('Unit costs'!$F138*'Financial impact (cash)'!G$17)+('Unit costs'!$D138*'Financial impact (cash)'!G$15)+('Unit costs'!$G138*'Financial impact (cash)'!G$18)</f>
        <v>32.573555607328991</v>
      </c>
      <c r="H213" s="128">
        <f>('Unit costs'!$C138*'Financial impact (cash)'!H$14)+('Unit costs'!$E138*'Financial impact (cash)'!H$16)+('Unit costs'!$F138*'Financial impact (cash)'!H$17)+('Unit costs'!$D138*'Financial impact (cash)'!H$15)+('Unit costs'!$G138*'Financial impact (cash)'!H$18)</f>
        <v>43.850164745213924</v>
      </c>
      <c r="I213" s="128">
        <f>('Unit costs'!$C138*'Financial impact (cash)'!I$14)+('Unit costs'!$E138*'Financial impact (cash)'!I$16)+('Unit costs'!$F138*'Financial impact (cash)'!I$17)+('Unit costs'!$D138*'Financial impact (cash)'!I$15)+('Unit costs'!$G138*'Financial impact (cash)'!I$18)</f>
        <v>44.27295959094883</v>
      </c>
      <c r="J213" s="297"/>
      <c r="K213" s="297"/>
      <c r="L213" s="299">
        <f>(D213*'Unit costs'!$P138)/1000</f>
        <v>0</v>
      </c>
      <c r="M213" s="299">
        <f>(E213*'Unit costs'!$P138)/1000</f>
        <v>15.760289649133389</v>
      </c>
      <c r="N213" s="299">
        <f>(F213*'Unit costs'!$P138)/1000</f>
        <v>34.675969376101257</v>
      </c>
      <c r="O213" s="299">
        <f>(G213*'Unit costs'!$P138)/1000</f>
        <v>52.515462594676087</v>
      </c>
      <c r="P213" s="299">
        <f>(H213*'Unit costs'!$P138)/1000</f>
        <v>70.695742098524164</v>
      </c>
      <c r="Q213" s="299">
        <f>(I213*'Unit costs'!$P138)/1000</f>
        <v>71.377376832357683</v>
      </c>
      <c r="R213" s="133"/>
      <c r="S213" s="133"/>
      <c r="T213" s="133"/>
      <c r="U213" s="133"/>
      <c r="V213" s="133"/>
      <c r="W213" s="133"/>
      <c r="X213" s="133"/>
      <c r="Y213" s="133"/>
      <c r="Z213" s="133"/>
      <c r="AJ213" s="292"/>
      <c r="AK213" s="292"/>
      <c r="AL213" s="292"/>
      <c r="AM213" s="292"/>
      <c r="AN213" s="292"/>
    </row>
    <row r="214" spans="1:40" x14ac:dyDescent="0.25">
      <c r="A214" s="297"/>
      <c r="B214" s="253" t="s">
        <v>1108</v>
      </c>
      <c r="C214" s="168"/>
      <c r="D214" s="128">
        <f>('Unit costs'!$C139*'Financial impact (cash)'!D$14)+('Unit costs'!$E139*'Financial impact (cash)'!D$16)+('Unit costs'!$F139*'Financial impact (cash)'!D$17)+('Unit costs'!$D139*'Financial impact (cash)'!D$15)+('Unit costs'!$G139*'Financial impact (cash)'!D$18)</f>
        <v>0</v>
      </c>
      <c r="E214" s="128">
        <f>('Unit costs'!$C139*'Financial impact (cash)'!E$14)+('Unit costs'!$E139*'Financial impact (cash)'!E$16)+('Unit costs'!$F139*'Financial impact (cash)'!E$17)+('Unit costs'!$D139*'Financial impact (cash)'!E$15)+('Unit costs'!$G139*'Financial impact (cash)'!E$18)</f>
        <v>13.441411122080464</v>
      </c>
      <c r="F214" s="128">
        <f>('Unit costs'!$C139*'Financial impact (cash)'!F$14)+('Unit costs'!$E139*'Financial impact (cash)'!F$16)+('Unit costs'!$F139*'Financial impact (cash)'!F$17)+('Unit costs'!$D139*'Financial impact (cash)'!F$15)+('Unit costs'!$G139*'Financial impact (cash)'!F$18)</f>
        <v>29.573946343459376</v>
      </c>
      <c r="G214" s="128">
        <f>('Unit costs'!$C139*'Financial impact (cash)'!G$14)+('Unit costs'!$E139*'Financial impact (cash)'!G$16)+('Unit costs'!$F139*'Financial impact (cash)'!G$17)+('Unit costs'!$D139*'Financial impact (cash)'!G$15)+('Unit costs'!$G139*'Financial impact (cash)'!G$18)</f>
        <v>44.788638960077364</v>
      </c>
      <c r="H214" s="128">
        <f>('Unit costs'!$C139*'Financial impact (cash)'!H$14)+('Unit costs'!$E139*'Financial impact (cash)'!H$16)+('Unit costs'!$F139*'Financial impact (cash)'!H$17)+('Unit costs'!$D139*'Financial impact (cash)'!H$15)+('Unit costs'!$G139*'Financial impact (cash)'!H$18)</f>
        <v>60.293976524669141</v>
      </c>
      <c r="I214" s="128">
        <f>('Unit costs'!$C139*'Financial impact (cash)'!I$14)+('Unit costs'!$E139*'Financial impact (cash)'!I$16)+('Unit costs'!$F139*'Financial impact (cash)'!I$17)+('Unit costs'!$D139*'Financial impact (cash)'!I$15)+('Unit costs'!$G139*'Financial impact (cash)'!I$18)</f>
        <v>60.875319437554644</v>
      </c>
      <c r="J214" s="297"/>
      <c r="K214" s="297"/>
      <c r="L214" s="299">
        <f>(D214*'Unit costs'!$P139)/1000</f>
        <v>0</v>
      </c>
      <c r="M214" s="299">
        <f>(E214*'Unit costs'!$P139)/1000</f>
        <v>8.7861446654176198</v>
      </c>
      <c r="N214" s="299">
        <f>(F214*'Unit costs'!$P139)/1000</f>
        <v>19.331375890592824</v>
      </c>
      <c r="O214" s="299">
        <f>(G214*'Unit costs'!$P139)/1000</f>
        <v>29.276647942414137</v>
      </c>
      <c r="P214" s="299">
        <f>(H214*'Unit costs'!$P139)/1000</f>
        <v>39.411903660085493</v>
      </c>
      <c r="Q214" s="299">
        <f>(I214*'Unit costs'!$P139)/1000</f>
        <v>39.79190564696296</v>
      </c>
      <c r="R214" s="133"/>
      <c r="S214" s="133"/>
      <c r="T214" s="133"/>
      <c r="U214" s="133"/>
      <c r="V214" s="133"/>
      <c r="W214" s="133"/>
      <c r="X214" s="133"/>
      <c r="Y214" s="133"/>
      <c r="Z214" s="133"/>
      <c r="AJ214" s="292"/>
      <c r="AK214" s="292"/>
      <c r="AL214" s="292"/>
      <c r="AM214" s="292"/>
      <c r="AN214" s="292"/>
    </row>
    <row r="215" spans="1:40" x14ac:dyDescent="0.25">
      <c r="A215" s="297"/>
      <c r="B215" s="253" t="s">
        <v>1109</v>
      </c>
      <c r="C215" s="168"/>
      <c r="D215" s="128">
        <f>('Unit costs'!$C140*'Financial impact (cash)'!D$14)+('Unit costs'!$E140*'Financial impact (cash)'!D$16)+('Unit costs'!$F140*'Financial impact (cash)'!D$17)+('Unit costs'!$D140*'Financial impact (cash)'!D$15)+('Unit costs'!$G140*'Financial impact (cash)'!D$18)</f>
        <v>37.373765284947964</v>
      </c>
      <c r="E215" s="128">
        <f>('Unit costs'!$C140*'Financial impact (cash)'!E$14)+('Unit costs'!$E140*'Financial impact (cash)'!E$16)+('Unit costs'!$F140*'Financial impact (cash)'!E$17)+('Unit costs'!$D140*'Financial impact (cash)'!E$15)+('Unit costs'!$G140*'Financial impact (cash)'!E$18)</f>
        <v>44.79477333587355</v>
      </c>
      <c r="F215" s="128">
        <f>('Unit costs'!$C140*'Financial impact (cash)'!F$14)+('Unit costs'!$E140*'Financial impact (cash)'!F$16)+('Unit costs'!$F140*'Financial impact (cash)'!F$17)+('Unit costs'!$D140*'Financial impact (cash)'!F$15)+('Unit costs'!$G140*'Financial impact (cash)'!F$18)</f>
        <v>56.918087975375769</v>
      </c>
      <c r="G215" s="128">
        <f>('Unit costs'!$C140*'Financial impact (cash)'!G$14)+('Unit costs'!$E140*'Financial impact (cash)'!G$16)+('Unit costs'!$F140*'Financial impact (cash)'!G$17)+('Unit costs'!$D140*'Financial impact (cash)'!G$15)+('Unit costs'!$G140*'Financial impact (cash)'!G$18)</f>
        <v>68.099016406934822</v>
      </c>
      <c r="H215" s="128">
        <f>('Unit costs'!$C140*'Financial impact (cash)'!H$14)+('Unit costs'!$E140*'Financial impact (cash)'!H$16)+('Unit costs'!$F140*'Financial impact (cash)'!H$17)+('Unit costs'!$D140*'Financial impact (cash)'!H$15)+('Unit costs'!$G140*'Financial impact (cash)'!H$18)</f>
        <v>79.49026219809366</v>
      </c>
      <c r="I215" s="128">
        <f>('Unit costs'!$C140*'Financial impact (cash)'!I$14)+('Unit costs'!$E140*'Financial impact (cash)'!I$16)+('Unit costs'!$F140*'Financial impact (cash)'!I$17)+('Unit costs'!$D140*'Financial impact (cash)'!I$15)+('Unit costs'!$G140*'Financial impact (cash)'!I$18)</f>
        <v>80.256692001464884</v>
      </c>
      <c r="J215" s="297"/>
      <c r="K215" s="297"/>
      <c r="L215" s="299">
        <f>(D215*'Unit costs'!$P140)/1000</f>
        <v>42.530241827965725</v>
      </c>
      <c r="M215" s="299">
        <f>(E215*'Unit costs'!$P140)/1000</f>
        <v>50.975129962912575</v>
      </c>
      <c r="N215" s="299">
        <f>(F215*'Unit costs'!$P140)/1000</f>
        <v>64.77110420964452</v>
      </c>
      <c r="O215" s="299">
        <f>(G215*'Unit costs'!$P140)/1000</f>
        <v>77.494670765752247</v>
      </c>
      <c r="P215" s="299">
        <f>(H215*'Unit costs'!$P140)/1000</f>
        <v>90.457572269682345</v>
      </c>
      <c r="Q215" s="299">
        <f>(I215*'Unit costs'!$P140)/1000</f>
        <v>91.329746765161033</v>
      </c>
      <c r="R215" s="133"/>
      <c r="S215" s="133"/>
      <c r="T215" s="133"/>
      <c r="U215" s="133"/>
      <c r="V215" s="133"/>
      <c r="W215" s="133"/>
      <c r="X215" s="133"/>
      <c r="Y215" s="133"/>
      <c r="Z215" s="133"/>
      <c r="AJ215" s="292"/>
      <c r="AK215" s="292"/>
      <c r="AL215" s="292"/>
      <c r="AM215" s="292"/>
      <c r="AN215" s="292"/>
    </row>
    <row r="216" spans="1:40" x14ac:dyDescent="0.25">
      <c r="A216" s="297"/>
      <c r="B216" s="253" t="s">
        <v>1110</v>
      </c>
      <c r="C216" s="168"/>
      <c r="D216" s="128">
        <f>('Unit costs'!$C141*'Financial impact (cash)'!D$14)+('Unit costs'!$E141*'Financial impact (cash)'!D$16)+('Unit costs'!$F141*'Financial impact (cash)'!D$17)+('Unit costs'!$D141*'Financial impact (cash)'!D$15)+('Unit costs'!$G141*'Financial impact (cash)'!D$18)</f>
        <v>62.945288900964997</v>
      </c>
      <c r="E216" s="128">
        <f>('Unit costs'!$C141*'Financial impact (cash)'!E$14)+('Unit costs'!$E141*'Financial impact (cash)'!E$16)+('Unit costs'!$F141*'Financial impact (cash)'!E$17)+('Unit costs'!$D141*'Financial impact (cash)'!E$15)+('Unit costs'!$G141*'Financial impact (cash)'!E$18)</f>
        <v>77.952034679371437</v>
      </c>
      <c r="F216" s="128">
        <f>('Unit costs'!$C141*'Financial impact (cash)'!F$14)+('Unit costs'!$E141*'Financial impact (cash)'!F$16)+('Unit costs'!$F141*'Financial impact (cash)'!F$17)+('Unit costs'!$D141*'Financial impact (cash)'!F$15)+('Unit costs'!$G141*'Financial impact (cash)'!F$18)</f>
        <v>101.38062619486693</v>
      </c>
      <c r="G216" s="128">
        <f>('Unit costs'!$C141*'Financial impact (cash)'!G$14)+('Unit costs'!$E141*'Financial impact (cash)'!G$16)+('Unit costs'!$F141*'Financial impact (cash)'!G$17)+('Unit costs'!$D141*'Financial impact (cash)'!G$15)+('Unit costs'!$G141*'Financial impact (cash)'!G$18)</f>
        <v>123.05076887408651</v>
      </c>
      <c r="H216" s="128">
        <f>('Unit costs'!$C141*'Financial impact (cash)'!H$14)+('Unit costs'!$E141*'Financial impact (cash)'!H$16)+('Unit costs'!$F141*'Financial impact (cash)'!H$17)+('Unit costs'!$D141*'Financial impact (cash)'!H$15)+('Unit costs'!$G141*'Financial impact (cash)'!H$18)</f>
        <v>145.12936544589024</v>
      </c>
      <c r="I216" s="128">
        <f>('Unit costs'!$C141*'Financial impact (cash)'!I$14)+('Unit costs'!$E141*'Financial impact (cash)'!I$16)+('Unit costs'!$F141*'Financial impact (cash)'!I$17)+('Unit costs'!$D141*'Financial impact (cash)'!I$15)+('Unit costs'!$G141*'Financial impact (cash)'!I$18)</f>
        <v>146.52867484488166</v>
      </c>
      <c r="J216" s="297"/>
      <c r="K216" s="297"/>
      <c r="L216" s="299">
        <f>(D216*'Unit costs'!$P141)/1000</f>
        <v>101.48112182281854</v>
      </c>
      <c r="M216" s="299">
        <f>(E216*'Unit costs'!$P141)/1000</f>
        <v>125.67517070388078</v>
      </c>
      <c r="N216" s="299">
        <f>(F216*'Unit costs'!$P141)/1000</f>
        <v>163.44701655976027</v>
      </c>
      <c r="O216" s="299">
        <f>(G216*'Unit costs'!$P141)/1000</f>
        <v>198.3838708906334</v>
      </c>
      <c r="P216" s="299">
        <f>(H216*'Unit costs'!$P141)/1000</f>
        <v>233.97923930502367</v>
      </c>
      <c r="Q216" s="299">
        <f>(I216*'Unit costs'!$P141)/1000</f>
        <v>236.23522208095918</v>
      </c>
      <c r="R216" s="133"/>
      <c r="S216" s="133"/>
      <c r="T216" s="133"/>
      <c r="U216" s="133"/>
      <c r="V216" s="133"/>
      <c r="W216" s="133"/>
      <c r="X216" s="133"/>
      <c r="Y216" s="133"/>
      <c r="Z216" s="133"/>
      <c r="AJ216" s="292"/>
      <c r="AK216" s="292"/>
      <c r="AL216" s="292"/>
      <c r="AM216" s="292"/>
      <c r="AN216" s="292"/>
    </row>
    <row r="217" spans="1:40" x14ac:dyDescent="0.25">
      <c r="A217" s="297"/>
      <c r="B217" s="253" t="s">
        <v>1111</v>
      </c>
      <c r="C217" s="168"/>
      <c r="D217" s="128">
        <f>('Unit costs'!$C142*'Financial impact (cash)'!D$14)+('Unit costs'!$E142*'Financial impact (cash)'!D$16)+('Unit costs'!$F142*'Financial impact (cash)'!D$17)+('Unit costs'!$D142*'Financial impact (cash)'!D$15)+('Unit costs'!$G142*'Financial impact (cash)'!D$18)</f>
        <v>0</v>
      </c>
      <c r="E217" s="128">
        <f>('Unit costs'!$C142*'Financial impact (cash)'!E$14)+('Unit costs'!$E142*'Financial impact (cash)'!E$16)+('Unit costs'!$F142*'Financial impact (cash)'!E$17)+('Unit costs'!$D142*'Financial impact (cash)'!E$15)+('Unit costs'!$G142*'Financial impact (cash)'!E$18)</f>
        <v>0.61097323282183924</v>
      </c>
      <c r="F217" s="128">
        <f>('Unit costs'!$C142*'Financial impact (cash)'!F$14)+('Unit costs'!$E142*'Financial impact (cash)'!F$16)+('Unit costs'!$F142*'Financial impact (cash)'!F$17)+('Unit costs'!$D142*'Financial impact (cash)'!F$15)+('Unit costs'!$G142*'Financial impact (cash)'!F$18)</f>
        <v>1.3442702883390625</v>
      </c>
      <c r="G217" s="128">
        <f>('Unit costs'!$C142*'Financial impact (cash)'!G$14)+('Unit costs'!$E142*'Financial impact (cash)'!G$16)+('Unit costs'!$F142*'Financial impact (cash)'!G$17)+('Unit costs'!$D142*'Financial impact (cash)'!G$15)+('Unit costs'!$G142*'Financial impact (cash)'!G$18)</f>
        <v>2.035847225458062</v>
      </c>
      <c r="H217" s="128">
        <f>('Unit costs'!$C142*'Financial impact (cash)'!H$14)+('Unit costs'!$E142*'Financial impact (cash)'!H$16)+('Unit costs'!$F142*'Financial impact (cash)'!H$17)+('Unit costs'!$D142*'Financial impact (cash)'!H$15)+('Unit costs'!$G142*'Financial impact (cash)'!H$18)</f>
        <v>2.7406352965758702</v>
      </c>
      <c r="I217" s="128">
        <f>('Unit costs'!$C142*'Financial impact (cash)'!I$14)+('Unit costs'!$E142*'Financial impact (cash)'!I$16)+('Unit costs'!$F142*'Financial impact (cash)'!I$17)+('Unit costs'!$D142*'Financial impact (cash)'!I$15)+('Unit costs'!$G142*'Financial impact (cash)'!I$18)</f>
        <v>2.7670599744343019</v>
      </c>
      <c r="J217" s="297"/>
      <c r="K217" s="297"/>
      <c r="L217" s="299">
        <f>(D217*'Unit costs'!$P142)/1000</f>
        <v>0</v>
      </c>
      <c r="M217" s="299">
        <f>(E217*'Unit costs'!$P142)/1000</f>
        <v>0.56219558482866261</v>
      </c>
      <c r="N217" s="299">
        <f>(F217*'Unit costs'!$P142)/1000</f>
        <v>1.2369491498508085</v>
      </c>
      <c r="O217" s="299">
        <f>(G217*'Unit costs'!$P142)/1000</f>
        <v>1.8733133630945109</v>
      </c>
      <c r="P217" s="299">
        <f>(H217*'Unit costs'!$P142)/1000</f>
        <v>2.5218339864814312</v>
      </c>
      <c r="Q217" s="299">
        <f>(I217*'Unit costs'!$P142)/1000</f>
        <v>2.5461490242350768</v>
      </c>
      <c r="R217" s="133"/>
      <c r="S217" s="133"/>
      <c r="T217" s="133"/>
      <c r="U217" s="133"/>
      <c r="V217" s="133"/>
      <c r="W217" s="133"/>
      <c r="X217" s="133"/>
      <c r="Y217" s="133"/>
      <c r="Z217" s="133"/>
      <c r="AJ217" s="292"/>
      <c r="AK217" s="292"/>
      <c r="AL217" s="292"/>
      <c r="AM217" s="292"/>
      <c r="AN217" s="292"/>
    </row>
    <row r="218" spans="1:40" x14ac:dyDescent="0.25">
      <c r="A218" s="297"/>
      <c r="B218" s="253" t="s">
        <v>1112</v>
      </c>
      <c r="C218" s="168"/>
      <c r="D218" s="128">
        <f>('Unit costs'!$C143*'Financial impact (cash)'!D$14)+('Unit costs'!$E143*'Financial impact (cash)'!D$16)+('Unit costs'!$F143*'Financial impact (cash)'!D$17)+('Unit costs'!$D143*'Financial impact (cash)'!D$15)+('Unit costs'!$G143*'Financial impact (cash)'!D$18)</f>
        <v>173.9232715211941</v>
      </c>
      <c r="E218" s="128">
        <f>('Unit costs'!$C143*'Financial impact (cash)'!E$14)+('Unit costs'!$E143*'Financial impact (cash)'!E$16)+('Unit costs'!$F143*'Financial impact (cash)'!E$17)+('Unit costs'!$D143*'Financial impact (cash)'!E$15)+('Unit costs'!$G143*'Financial impact (cash)'!E$18)</f>
        <v>174.26676708518372</v>
      </c>
      <c r="F218" s="128">
        <f>('Unit costs'!$C143*'Financial impact (cash)'!F$14)+('Unit costs'!$E143*'Financial impact (cash)'!F$16)+('Unit costs'!$F143*'Financial impact (cash)'!F$17)+('Unit costs'!$D143*'Financial impact (cash)'!F$15)+('Unit costs'!$G143*'Financial impact (cash)'!F$18)</f>
        <v>183.78873544042094</v>
      </c>
      <c r="G218" s="128">
        <f>('Unit costs'!$C143*'Financial impact (cash)'!G$14)+('Unit costs'!$E143*'Financial impact (cash)'!G$16)+('Unit costs'!$F143*'Financial impact (cash)'!G$17)+('Unit costs'!$D143*'Financial impact (cash)'!G$15)+('Unit costs'!$G143*'Financial impact (cash)'!G$18)</f>
        <v>192.09370606695887</v>
      </c>
      <c r="H218" s="128">
        <f>('Unit costs'!$C143*'Financial impact (cash)'!H$14)+('Unit costs'!$E143*'Financial impact (cash)'!H$16)+('Unit costs'!$F143*'Financial impact (cash)'!H$17)+('Unit costs'!$D143*'Financial impact (cash)'!H$15)+('Unit costs'!$G143*'Financial impact (cash)'!H$18)</f>
        <v>200.54174073012442</v>
      </c>
      <c r="I218" s="128">
        <f>('Unit costs'!$C143*'Financial impact (cash)'!I$14)+('Unit costs'!$E143*'Financial impact (cash)'!I$16)+('Unit costs'!$F143*'Financial impact (cash)'!I$17)+('Unit costs'!$D143*'Financial impact (cash)'!I$15)+('Unit costs'!$G143*'Financial impact (cash)'!I$18)</f>
        <v>202.47532558272539</v>
      </c>
      <c r="J218" s="297"/>
      <c r="K218" s="297"/>
      <c r="L218" s="299">
        <f>(D218*'Unit costs'!$P143)/1000</f>
        <v>107.15034642578154</v>
      </c>
      <c r="M218" s="299">
        <f>(E218*'Unit costs'!$P143)/1000</f>
        <v>107.36196657503064</v>
      </c>
      <c r="N218" s="299">
        <f>(F218*'Unit costs'!$P143)/1000</f>
        <v>113.22824426745932</v>
      </c>
      <c r="O218" s="299">
        <f>(G218*'Unit costs'!$P143)/1000</f>
        <v>118.34475611723234</v>
      </c>
      <c r="P218" s="299">
        <f>(H218*'Unit costs'!$P143)/1000</f>
        <v>123.54940660970476</v>
      </c>
      <c r="Q218" s="299">
        <f>(I218*'Unit costs'!$P143)/1000</f>
        <v>124.74064620051819</v>
      </c>
      <c r="R218" s="133"/>
      <c r="S218" s="133"/>
      <c r="T218" s="133"/>
      <c r="U218" s="133"/>
      <c r="V218" s="133"/>
      <c r="W218" s="133"/>
      <c r="X218" s="133"/>
      <c r="Y218" s="133"/>
      <c r="Z218" s="133"/>
      <c r="AJ218" s="292"/>
      <c r="AK218" s="292"/>
      <c r="AL218" s="292"/>
      <c r="AM218" s="292"/>
      <c r="AN218" s="292"/>
    </row>
    <row r="219" spans="1:40" x14ac:dyDescent="0.25">
      <c r="A219" s="297"/>
      <c r="B219" s="253" t="s">
        <v>1113</v>
      </c>
      <c r="C219" s="168"/>
      <c r="D219" s="128">
        <f>('Unit costs'!$C144*'Financial impact (cash)'!D$14)+('Unit costs'!$E144*'Financial impact (cash)'!D$16)+('Unit costs'!$F144*'Financial impact (cash)'!D$17)+('Unit costs'!$D144*'Financial impact (cash)'!D$15)+('Unit costs'!$G144*'Financial impact (cash)'!D$18)</f>
        <v>0</v>
      </c>
      <c r="E219" s="128">
        <f>('Unit costs'!$C144*'Financial impact (cash)'!E$14)+('Unit costs'!$E144*'Financial impact (cash)'!E$16)+('Unit costs'!$F144*'Financial impact (cash)'!E$17)+('Unit costs'!$D144*'Financial impact (cash)'!E$15)+('Unit costs'!$G144*'Financial impact (cash)'!E$18)</f>
        <v>6.7207055610402318</v>
      </c>
      <c r="F219" s="128">
        <f>('Unit costs'!$C144*'Financial impact (cash)'!F$14)+('Unit costs'!$E144*'Financial impact (cash)'!F$16)+('Unit costs'!$F144*'Financial impact (cash)'!F$17)+('Unit costs'!$D144*'Financial impact (cash)'!F$15)+('Unit costs'!$G144*'Financial impact (cash)'!F$18)</f>
        <v>14.786973171729688</v>
      </c>
      <c r="G219" s="128">
        <f>('Unit costs'!$C144*'Financial impact (cash)'!G$14)+('Unit costs'!$E144*'Financial impact (cash)'!G$16)+('Unit costs'!$F144*'Financial impact (cash)'!G$17)+('Unit costs'!$D144*'Financial impact (cash)'!G$15)+('Unit costs'!$G144*'Financial impact (cash)'!G$18)</f>
        <v>22.394319480038682</v>
      </c>
      <c r="H219" s="128">
        <f>('Unit costs'!$C144*'Financial impact (cash)'!H$14)+('Unit costs'!$E144*'Financial impact (cash)'!H$16)+('Unit costs'!$F144*'Financial impact (cash)'!H$17)+('Unit costs'!$D144*'Financial impact (cash)'!H$15)+('Unit costs'!$G144*'Financial impact (cash)'!H$18)</f>
        <v>30.14698826233457</v>
      </c>
      <c r="I219" s="128">
        <f>('Unit costs'!$C144*'Financial impact (cash)'!I$14)+('Unit costs'!$E144*'Financial impact (cash)'!I$16)+('Unit costs'!$F144*'Financial impact (cash)'!I$17)+('Unit costs'!$D144*'Financial impact (cash)'!I$15)+('Unit costs'!$G144*'Financial impact (cash)'!I$18)</f>
        <v>30.437659718777322</v>
      </c>
      <c r="J219" s="297"/>
      <c r="K219" s="297"/>
      <c r="L219" s="299">
        <f>(D219*'Unit costs'!$P144)/1000</f>
        <v>0</v>
      </c>
      <c r="M219" s="299">
        <f>(E219*'Unit costs'!$P144)/1000</f>
        <v>7.341690227812208</v>
      </c>
      <c r="N219" s="299">
        <f>(F219*'Unit costs'!$P144)/1000</f>
        <v>16.153270731444749</v>
      </c>
      <c r="O219" s="299">
        <f>(G219*'Unit costs'!$P144)/1000</f>
        <v>24.463526186625089</v>
      </c>
      <c r="P219" s="299">
        <f>(H219*'Unit costs'!$P144)/1000</f>
        <v>32.932531728007078</v>
      </c>
      <c r="Q219" s="299">
        <f>(I219*'Unit costs'!$P144)/1000</f>
        <v>33.250060858228252</v>
      </c>
      <c r="R219" s="133"/>
      <c r="S219" s="133"/>
      <c r="T219" s="133"/>
      <c r="U219" s="133"/>
      <c r="V219" s="133"/>
      <c r="W219" s="133"/>
      <c r="X219" s="133"/>
      <c r="Y219" s="133"/>
      <c r="Z219" s="133"/>
      <c r="AJ219" s="292"/>
      <c r="AK219" s="292"/>
      <c r="AL219" s="292"/>
      <c r="AM219" s="292"/>
      <c r="AN219" s="292"/>
    </row>
    <row r="220" spans="1:40" x14ac:dyDescent="0.25">
      <c r="A220" s="297"/>
      <c r="B220" s="253" t="s">
        <v>1114</v>
      </c>
      <c r="C220" s="168"/>
      <c r="D220" s="128">
        <f>('Unit costs'!$C145*'Financial impact (cash)'!D$14)+('Unit costs'!$E145*'Financial impact (cash)'!D$16)+('Unit costs'!$F145*'Financial impact (cash)'!D$17)+('Unit costs'!$D145*'Financial impact (cash)'!D$15)+('Unit costs'!$G145*'Financial impact (cash)'!D$18)</f>
        <v>7.222394109856943E-2</v>
      </c>
      <c r="E220" s="128">
        <f>('Unit costs'!$C145*'Financial impact (cash)'!E$14)+('Unit costs'!$E145*'Financial impact (cash)'!E$16)+('Unit costs'!$F145*'Financial impact (cash)'!E$17)+('Unit costs'!$D145*'Financial impact (cash)'!E$15)+('Unit costs'!$G145*'Financial impact (cash)'!E$18)</f>
        <v>0.68218910894508855</v>
      </c>
      <c r="F220" s="128">
        <f>('Unit costs'!$C145*'Financial impact (cash)'!F$14)+('Unit costs'!$E145*'Financial impact (cash)'!F$16)+('Unit costs'!$F145*'Financial impact (cash)'!F$17)+('Unit costs'!$D145*'Financial impact (cash)'!F$15)+('Unit costs'!$G145*'Financial impact (cash)'!F$18)</f>
        <v>1.4204921550957359</v>
      </c>
      <c r="G220" s="128">
        <f>('Unit costs'!$C145*'Financial impact (cash)'!G$14)+('Unit costs'!$E145*'Financial impact (cash)'!G$16)+('Unit costs'!$F145*'Financial impact (cash)'!G$17)+('Unit costs'!$D145*'Financial impact (cash)'!G$15)+('Unit costs'!$G145*'Financial impact (cash)'!G$18)</f>
        <v>2.116302044384021</v>
      </c>
      <c r="H220" s="128">
        <f>('Unit costs'!$C145*'Financial impact (cash)'!H$14)+('Unit costs'!$E145*'Financial impact (cash)'!H$16)+('Unit costs'!$F145*'Financial impact (cash)'!H$17)+('Unit costs'!$D145*'Financial impact (cash)'!H$15)+('Unit costs'!$G145*'Financial impact (cash)'!H$18)</f>
        <v>2.8253976083667451</v>
      </c>
      <c r="I220" s="128">
        <f>('Unit costs'!$C145*'Financial impact (cash)'!I$14)+('Unit costs'!$E145*'Financial impact (cash)'!I$16)+('Unit costs'!$F145*'Financial impact (cash)'!I$17)+('Unit costs'!$D145*'Financial impact (cash)'!I$15)+('Unit costs'!$G145*'Financial impact (cash)'!I$18)</f>
        <v>2.8526395481156612</v>
      </c>
      <c r="J220" s="297"/>
      <c r="K220" s="297"/>
      <c r="L220" s="299">
        <f>(D220*'Unit costs'!$P145)/1000</f>
        <v>7.8897341620093264E-2</v>
      </c>
      <c r="M220" s="299">
        <f>(E220*'Unit costs'!$P145)/1000</f>
        <v>0.74522251706662634</v>
      </c>
      <c r="N220" s="299">
        <f>(F220*'Unit costs'!$P145)/1000</f>
        <v>1.5517438279406031</v>
      </c>
      <c r="O220" s="299">
        <f>(G220*'Unit costs'!$P145)/1000</f>
        <v>2.3118456681724218</v>
      </c>
      <c r="P220" s="299">
        <f>(H220*'Unit costs'!$P145)/1000</f>
        <v>3.0864607625839038</v>
      </c>
      <c r="Q220" s="299">
        <f>(I220*'Unit costs'!$P145)/1000</f>
        <v>3.1162198230017077</v>
      </c>
      <c r="R220" s="133"/>
      <c r="S220" s="133"/>
      <c r="T220" s="133"/>
      <c r="U220" s="133"/>
      <c r="V220" s="133"/>
      <c r="W220" s="133"/>
      <c r="X220" s="133"/>
      <c r="Y220" s="133"/>
      <c r="Z220" s="133"/>
      <c r="AJ220" s="292"/>
      <c r="AK220" s="292"/>
      <c r="AL220" s="292"/>
      <c r="AM220" s="292"/>
      <c r="AN220" s="292"/>
    </row>
    <row r="221" spans="1:40" x14ac:dyDescent="0.25">
      <c r="A221" s="297"/>
      <c r="B221" s="253" t="s">
        <v>1115</v>
      </c>
      <c r="C221" s="168"/>
      <c r="D221" s="128">
        <f>('Unit costs'!$C146*'Financial impact (cash)'!D$14)+('Unit costs'!$E146*'Financial impact (cash)'!D$16)+('Unit costs'!$F146*'Financial impact (cash)'!D$17)+('Unit costs'!$D146*'Financial impact (cash)'!D$15)+('Unit costs'!$G146*'Financial impact (cash)'!D$18)</f>
        <v>61.693827936804944</v>
      </c>
      <c r="E221" s="128">
        <f>('Unit costs'!$C146*'Financial impact (cash)'!E$14)+('Unit costs'!$E146*'Financial impact (cash)'!E$16)+('Unit costs'!$F146*'Financial impact (cash)'!E$17)+('Unit costs'!$D146*'Financial impact (cash)'!E$15)+('Unit costs'!$G146*'Financial impact (cash)'!E$18)</f>
        <v>61.695423933247774</v>
      </c>
      <c r="F221" s="128">
        <f>('Unit costs'!$C146*'Financial impact (cash)'!F$14)+('Unit costs'!$E146*'Financial impact (cash)'!F$16)+('Unit costs'!$F146*'Financial impact (cash)'!F$17)+('Unit costs'!$D146*'Financial impact (cash)'!F$15)+('Unit costs'!$G146*'Financial impact (cash)'!F$18)</f>
        <v>57.557227610914545</v>
      </c>
      <c r="G221" s="128">
        <f>('Unit costs'!$C146*'Financial impact (cash)'!G$14)+('Unit costs'!$E146*'Financial impact (cash)'!G$16)+('Unit costs'!$F146*'Financial impact (cash)'!G$17)+('Unit costs'!$D146*'Financial impact (cash)'!G$15)+('Unit costs'!$G146*'Financial impact (cash)'!G$18)</f>
        <v>54.044604202786843</v>
      </c>
      <c r="H221" s="128">
        <f>('Unit costs'!$C146*'Financial impact (cash)'!H$14)+('Unit costs'!$E146*'Financial impact (cash)'!H$16)+('Unit costs'!$F146*'Financial impact (cash)'!H$17)+('Unit costs'!$D146*'Financial impact (cash)'!H$15)+('Unit costs'!$G146*'Financial impact (cash)'!H$18)</f>
        <v>50.458893941394408</v>
      </c>
      <c r="I221" s="128">
        <f>('Unit costs'!$C146*'Financial impact (cash)'!I$14)+('Unit costs'!$E146*'Financial impact (cash)'!I$16)+('Unit costs'!$F146*'Financial impact (cash)'!I$17)+('Unit costs'!$D146*'Financial impact (cash)'!I$15)+('Unit costs'!$G146*'Financial impact (cash)'!I$18)</f>
        <v>50.945408881620139</v>
      </c>
      <c r="J221" s="297"/>
      <c r="K221" s="297"/>
      <c r="L221" s="299">
        <f>(D221*'Unit costs'!$P146)/1000</f>
        <v>67.394259362533802</v>
      </c>
      <c r="M221" s="299">
        <f>(E221*'Unit costs'!$P146)/1000</f>
        <v>67.396002827022997</v>
      </c>
      <c r="N221" s="299">
        <f>(F221*'Unit costs'!$P146)/1000</f>
        <v>62.875442414949255</v>
      </c>
      <c r="O221" s="299">
        <f>(G221*'Unit costs'!$P146)/1000</f>
        <v>59.038257060641904</v>
      </c>
      <c r="P221" s="299">
        <f>(H221*'Unit costs'!$P146)/1000</f>
        <v>55.121231720558981</v>
      </c>
      <c r="Q221" s="299">
        <f>(I221*'Unit costs'!$P146)/1000</f>
        <v>55.652700023983222</v>
      </c>
      <c r="R221" s="133"/>
      <c r="S221" s="133"/>
      <c r="T221" s="133"/>
      <c r="U221" s="133"/>
      <c r="V221" s="133"/>
      <c r="W221" s="133"/>
      <c r="X221" s="133"/>
      <c r="Y221" s="133"/>
      <c r="Z221" s="133"/>
      <c r="AJ221" s="292"/>
      <c r="AK221" s="292"/>
      <c r="AL221" s="292"/>
      <c r="AM221" s="292"/>
      <c r="AN221" s="292"/>
    </row>
    <row r="222" spans="1:40" x14ac:dyDescent="0.25">
      <c r="A222" s="297"/>
      <c r="B222" s="253" t="s">
        <v>1116</v>
      </c>
      <c r="C222" s="168"/>
      <c r="D222" s="128">
        <f>('Unit costs'!$C147*'Financial impact (cash)'!D$14)+('Unit costs'!$E147*'Financial impact (cash)'!D$16)+('Unit costs'!$F147*'Financial impact (cash)'!D$17)+('Unit costs'!$D147*'Financial impact (cash)'!D$15)+('Unit costs'!$G147*'Financial impact (cash)'!D$18)</f>
        <v>0</v>
      </c>
      <c r="E222" s="128">
        <f>('Unit costs'!$C147*'Financial impact (cash)'!E$14)+('Unit costs'!$E147*'Financial impact (cash)'!E$16)+('Unit costs'!$F147*'Financial impact (cash)'!E$17)+('Unit costs'!$D147*'Financial impact (cash)'!E$15)+('Unit costs'!$G147*'Financial impact (cash)'!E$18)</f>
        <v>2.443892931287357</v>
      </c>
      <c r="F222" s="128">
        <f>('Unit costs'!$C147*'Financial impact (cash)'!F$14)+('Unit costs'!$E147*'Financial impact (cash)'!F$16)+('Unit costs'!$F147*'Financial impact (cash)'!F$17)+('Unit costs'!$D147*'Financial impact (cash)'!F$15)+('Unit costs'!$G147*'Financial impact (cash)'!F$18)</f>
        <v>5.3770811533562499</v>
      </c>
      <c r="G222" s="128">
        <f>('Unit costs'!$C147*'Financial impact (cash)'!G$14)+('Unit costs'!$E147*'Financial impact (cash)'!G$16)+('Unit costs'!$F147*'Financial impact (cash)'!G$17)+('Unit costs'!$D147*'Financial impact (cash)'!G$15)+('Unit costs'!$G147*'Financial impact (cash)'!G$18)</f>
        <v>8.1433889018322478</v>
      </c>
      <c r="H222" s="128">
        <f>('Unit costs'!$C147*'Financial impact (cash)'!H$14)+('Unit costs'!$E147*'Financial impact (cash)'!H$16)+('Unit costs'!$F147*'Financial impact (cash)'!H$17)+('Unit costs'!$D147*'Financial impact (cash)'!H$15)+('Unit costs'!$G147*'Financial impact (cash)'!H$18)</f>
        <v>10.962541186303481</v>
      </c>
      <c r="I222" s="128">
        <f>('Unit costs'!$C147*'Financial impact (cash)'!I$14)+('Unit costs'!$E147*'Financial impact (cash)'!I$16)+('Unit costs'!$F147*'Financial impact (cash)'!I$17)+('Unit costs'!$D147*'Financial impact (cash)'!I$15)+('Unit costs'!$G147*'Financial impact (cash)'!I$18)</f>
        <v>11.068239897737207</v>
      </c>
      <c r="J222" s="297"/>
      <c r="K222" s="297"/>
      <c r="L222" s="299">
        <f>(D222*'Unit costs'!$P147)/1000</f>
        <v>0</v>
      </c>
      <c r="M222" s="299">
        <f>(E222*'Unit costs'!$P147)/1000</f>
        <v>3.1970572552116208</v>
      </c>
      <c r="N222" s="299">
        <f>(F222*'Unit costs'!$P147)/1000</f>
        <v>7.0342019051316385</v>
      </c>
      <c r="O222" s="299">
        <f>(G222*'Unit costs'!$P147)/1000</f>
        <v>10.653036488344981</v>
      </c>
      <c r="P222" s="299">
        <f>(H222*'Unit costs'!$P147)/1000</f>
        <v>14.341001353429084</v>
      </c>
      <c r="Q222" s="299">
        <f>(I222*'Unit costs'!$P147)/1000</f>
        <v>14.479274527318786</v>
      </c>
      <c r="R222" s="133"/>
      <c r="S222" s="133"/>
      <c r="T222" s="133"/>
      <c r="U222" s="133"/>
      <c r="V222" s="133"/>
      <c r="W222" s="133"/>
      <c r="X222" s="133"/>
      <c r="Y222" s="133"/>
      <c r="Z222" s="133"/>
      <c r="AJ222" s="292"/>
      <c r="AK222" s="292"/>
      <c r="AL222" s="292"/>
      <c r="AM222" s="292"/>
      <c r="AN222" s="292"/>
    </row>
    <row r="223" spans="1:40" x14ac:dyDescent="0.25">
      <c r="A223" s="297"/>
      <c r="B223" s="253" t="s">
        <v>1117</v>
      </c>
      <c r="C223" s="168"/>
      <c r="D223" s="128">
        <f>('Unit costs'!$C148*'Financial impact (cash)'!D$14)+('Unit costs'!$E148*'Financial impact (cash)'!D$16)+('Unit costs'!$F148*'Financial impact (cash)'!D$17)+('Unit costs'!$D148*'Financial impact (cash)'!D$15)+('Unit costs'!$G148*'Financial impact (cash)'!D$18)</f>
        <v>0</v>
      </c>
      <c r="E223" s="128">
        <f>('Unit costs'!$C148*'Financial impact (cash)'!E$14)+('Unit costs'!$E148*'Financial impact (cash)'!E$16)+('Unit costs'!$F148*'Financial impact (cash)'!E$17)+('Unit costs'!$D148*'Financial impact (cash)'!E$15)+('Unit costs'!$G148*'Financial impact (cash)'!E$18)</f>
        <v>9.1645984923275901</v>
      </c>
      <c r="F223" s="128">
        <f>('Unit costs'!$C148*'Financial impact (cash)'!F$14)+('Unit costs'!$E148*'Financial impact (cash)'!F$16)+('Unit costs'!$F148*'Financial impact (cash)'!F$17)+('Unit costs'!$D148*'Financial impact (cash)'!F$15)+('Unit costs'!$G148*'Financial impact (cash)'!F$18)</f>
        <v>20.164054325085939</v>
      </c>
      <c r="G223" s="128">
        <f>('Unit costs'!$C148*'Financial impact (cash)'!G$14)+('Unit costs'!$E148*'Financial impact (cash)'!G$16)+('Unit costs'!$F148*'Financial impact (cash)'!G$17)+('Unit costs'!$D148*'Financial impact (cash)'!G$15)+('Unit costs'!$G148*'Financial impact (cash)'!G$18)</f>
        <v>30.537708381870932</v>
      </c>
      <c r="H223" s="128">
        <f>('Unit costs'!$C148*'Financial impact (cash)'!H$14)+('Unit costs'!$E148*'Financial impact (cash)'!H$16)+('Unit costs'!$F148*'Financial impact (cash)'!H$17)+('Unit costs'!$D148*'Financial impact (cash)'!H$15)+('Unit costs'!$G148*'Financial impact (cash)'!H$18)</f>
        <v>41.109529448638057</v>
      </c>
      <c r="I223" s="128">
        <f>('Unit costs'!$C148*'Financial impact (cash)'!I$14)+('Unit costs'!$E148*'Financial impact (cash)'!I$16)+('Unit costs'!$F148*'Financial impact (cash)'!I$17)+('Unit costs'!$D148*'Financial impact (cash)'!I$15)+('Unit costs'!$G148*'Financial impact (cash)'!I$18)</f>
        <v>41.505899616514533</v>
      </c>
      <c r="J223" s="297"/>
      <c r="K223" s="297"/>
      <c r="L223" s="299">
        <f>(D223*'Unit costs'!$P148)/1000</f>
        <v>0</v>
      </c>
      <c r="M223" s="299">
        <f>(E223*'Unit costs'!$P148)/1000</f>
        <v>13.517006516669115</v>
      </c>
      <c r="N223" s="299">
        <f>(F223*'Unit costs'!$P148)/1000</f>
        <v>29.7402721944487</v>
      </c>
      <c r="O223" s="299">
        <f>(G223*'Unit costs'!$P148)/1000</f>
        <v>45.04053325930861</v>
      </c>
      <c r="P223" s="299">
        <f>(H223*'Unit costs'!$P148)/1000</f>
        <v>60.633073878756747</v>
      </c>
      <c r="Q223" s="299">
        <f>(I223*'Unit costs'!$P148)/1000</f>
        <v>61.217686303041887</v>
      </c>
      <c r="R223" s="133"/>
      <c r="S223" s="133"/>
      <c r="T223" s="133"/>
      <c r="U223" s="133"/>
      <c r="V223" s="133"/>
      <c r="W223" s="133"/>
      <c r="X223" s="133"/>
      <c r="Y223" s="133"/>
      <c r="Z223" s="133"/>
      <c r="AJ223" s="292"/>
      <c r="AK223" s="292"/>
      <c r="AL223" s="292"/>
      <c r="AM223" s="292"/>
      <c r="AN223" s="292"/>
    </row>
    <row r="224" spans="1:40" x14ac:dyDescent="0.25">
      <c r="A224" s="297"/>
      <c r="B224" s="253" t="s">
        <v>1118</v>
      </c>
      <c r="C224" s="168"/>
      <c r="D224" s="128">
        <f>('Unit costs'!$C149*'Financial impact (cash)'!D$14)+('Unit costs'!$E149*'Financial impact (cash)'!D$16)+('Unit costs'!$F149*'Financial impact (cash)'!D$17)+('Unit costs'!$D149*'Financial impact (cash)'!D$15)+('Unit costs'!$G149*'Financial impact (cash)'!D$18)</f>
        <v>185.0196928550223</v>
      </c>
      <c r="E224" s="128">
        <f>('Unit costs'!$C149*'Financial impact (cash)'!E$14)+('Unit costs'!$E149*'Financial impact (cash)'!E$16)+('Unit costs'!$F149*'Financial impact (cash)'!E$17)+('Unit costs'!$D149*'Financial impact (cash)'!E$15)+('Unit costs'!$G149*'Financial impact (cash)'!E$18)</f>
        <v>184.48979132547413</v>
      </c>
      <c r="F224" s="128">
        <f>('Unit costs'!$C149*'Financial impact (cash)'!F$14)+('Unit costs'!$E149*'Financial impact (cash)'!F$16)+('Unit costs'!$F149*'Financial impact (cash)'!F$17)+('Unit costs'!$D149*'Financial impact (cash)'!F$15)+('Unit costs'!$G149*'Financial impact (cash)'!F$18)</f>
        <v>175.01904125915067</v>
      </c>
      <c r="G224" s="128">
        <f>('Unit costs'!$C149*'Financial impact (cash)'!G$14)+('Unit costs'!$E149*'Financial impact (cash)'!G$16)+('Unit costs'!$F149*'Financial impact (cash)'!G$17)+('Unit costs'!$D149*'Financial impact (cash)'!G$15)+('Unit costs'!$G149*'Financial impact (cash)'!G$18)</f>
        <v>166.95121268646383</v>
      </c>
      <c r="H224" s="128">
        <f>('Unit costs'!$C149*'Financial impact (cash)'!H$14)+('Unit costs'!$E149*'Financial impact (cash)'!H$16)+('Unit costs'!$F149*'Financial impact (cash)'!H$17)+('Unit costs'!$D149*'Financial impact (cash)'!H$15)+('Unit costs'!$G149*'Financial impact (cash)'!H$18)</f>
        <v>158.71153666516216</v>
      </c>
      <c r="I224" s="128">
        <f>('Unit costs'!$C149*'Financial impact (cash)'!I$14)+('Unit costs'!$E149*'Financial impact (cash)'!I$16)+('Unit costs'!$F149*'Financial impact (cash)'!I$17)+('Unit costs'!$D149*'Financial impact (cash)'!I$15)+('Unit costs'!$G149*'Financial impact (cash)'!I$18)</f>
        <v>160.24180274399191</v>
      </c>
      <c r="J224" s="297"/>
      <c r="K224" s="297"/>
      <c r="L224" s="299">
        <f>(D224*'Unit costs'!$P149)/1000</f>
        <v>202.11527772632948</v>
      </c>
      <c r="M224" s="299">
        <f>(E224*'Unit costs'!$P149)/1000</f>
        <v>201.53641396777726</v>
      </c>
      <c r="N224" s="299">
        <f>(F224*'Unit costs'!$P149)/1000</f>
        <v>191.19057861158339</v>
      </c>
      <c r="O224" s="299">
        <f>(G224*'Unit costs'!$P149)/1000</f>
        <v>182.37729291504542</v>
      </c>
      <c r="P224" s="299">
        <f>(H224*'Unit costs'!$P149)/1000</f>
        <v>173.37628128367649</v>
      </c>
      <c r="Q224" s="299">
        <f>(I224*'Unit costs'!$P149)/1000</f>
        <v>175.04794200662565</v>
      </c>
      <c r="R224" s="133"/>
      <c r="S224" s="133"/>
      <c r="T224" s="133"/>
      <c r="U224" s="133"/>
      <c r="V224" s="133"/>
      <c r="W224" s="133"/>
      <c r="X224" s="133"/>
      <c r="Y224" s="133"/>
      <c r="Z224" s="133"/>
      <c r="AJ224" s="292"/>
      <c r="AK224" s="292"/>
      <c r="AL224" s="292"/>
      <c r="AM224" s="292"/>
      <c r="AN224" s="292"/>
    </row>
    <row r="225" spans="1:40" x14ac:dyDescent="0.25">
      <c r="A225" s="297"/>
      <c r="B225" s="253" t="s">
        <v>1119</v>
      </c>
      <c r="C225" s="168"/>
      <c r="D225" s="128">
        <f>('Unit costs'!$C150*'Financial impact (cash)'!D$14)+('Unit costs'!$E150*'Financial impact (cash)'!D$16)+('Unit costs'!$F150*'Financial impact (cash)'!D$17)+('Unit costs'!$D150*'Financial impact (cash)'!D$15)+('Unit costs'!$G150*'Financial impact (cash)'!D$18)</f>
        <v>0</v>
      </c>
      <c r="E225" s="128">
        <f>('Unit costs'!$C150*'Financial impact (cash)'!E$14)+('Unit costs'!$E150*'Financial impact (cash)'!E$16)+('Unit costs'!$F150*'Financial impact (cash)'!E$17)+('Unit costs'!$D150*'Financial impact (cash)'!E$15)+('Unit costs'!$G150*'Financial impact (cash)'!E$18)</f>
        <v>2.443892931287357</v>
      </c>
      <c r="F225" s="128">
        <f>('Unit costs'!$C150*'Financial impact (cash)'!F$14)+('Unit costs'!$E150*'Financial impact (cash)'!F$16)+('Unit costs'!$F150*'Financial impact (cash)'!F$17)+('Unit costs'!$D150*'Financial impact (cash)'!F$15)+('Unit costs'!$G150*'Financial impact (cash)'!F$18)</f>
        <v>5.3770811533562499</v>
      </c>
      <c r="G225" s="128">
        <f>('Unit costs'!$C150*'Financial impact (cash)'!G$14)+('Unit costs'!$E150*'Financial impact (cash)'!G$16)+('Unit costs'!$F150*'Financial impact (cash)'!G$17)+('Unit costs'!$D150*'Financial impact (cash)'!G$15)+('Unit costs'!$G150*'Financial impact (cash)'!G$18)</f>
        <v>8.1433889018322478</v>
      </c>
      <c r="H225" s="128">
        <f>('Unit costs'!$C150*'Financial impact (cash)'!H$14)+('Unit costs'!$E150*'Financial impact (cash)'!H$16)+('Unit costs'!$F150*'Financial impact (cash)'!H$17)+('Unit costs'!$D150*'Financial impact (cash)'!H$15)+('Unit costs'!$G150*'Financial impact (cash)'!H$18)</f>
        <v>10.962541186303481</v>
      </c>
      <c r="I225" s="128">
        <f>('Unit costs'!$C150*'Financial impact (cash)'!I$14)+('Unit costs'!$E150*'Financial impact (cash)'!I$16)+('Unit costs'!$F150*'Financial impact (cash)'!I$17)+('Unit costs'!$D150*'Financial impact (cash)'!I$15)+('Unit costs'!$G150*'Financial impact (cash)'!I$18)</f>
        <v>11.068239897737207</v>
      </c>
      <c r="J225" s="297"/>
      <c r="K225" s="297"/>
      <c r="L225" s="299">
        <f>(D225*'Unit costs'!$P150)/1000</f>
        <v>0</v>
      </c>
      <c r="M225" s="299">
        <f>(E225*'Unit costs'!$P150)/1000</f>
        <v>2.9969033596348886</v>
      </c>
      <c r="N225" s="299">
        <f>(F225*'Unit costs'!$P150)/1000</f>
        <v>6.5938210169600948</v>
      </c>
      <c r="O225" s="299">
        <f>(G225*'Unit costs'!$P150)/1000</f>
        <v>9.9860960544858486</v>
      </c>
      <c r="P225" s="299">
        <f>(H225*'Unit costs'!$P150)/1000</f>
        <v>13.44317342661267</v>
      </c>
      <c r="Q225" s="299">
        <f>(I225*'Unit costs'!$P150)/1000</f>
        <v>13.572789916496271</v>
      </c>
      <c r="R225" s="133"/>
      <c r="S225" s="133"/>
      <c r="T225" s="133"/>
      <c r="U225" s="133"/>
      <c r="V225" s="133"/>
      <c r="W225" s="133"/>
      <c r="X225" s="133"/>
      <c r="Y225" s="133"/>
      <c r="Z225" s="133"/>
      <c r="AJ225" s="292"/>
      <c r="AK225" s="292"/>
      <c r="AL225" s="292"/>
      <c r="AM225" s="292"/>
      <c r="AN225" s="292"/>
    </row>
    <row r="226" spans="1:40" x14ac:dyDescent="0.25">
      <c r="A226" s="297"/>
      <c r="B226" s="253" t="s">
        <v>1120</v>
      </c>
      <c r="C226" s="168"/>
      <c r="D226" s="128">
        <f>('Unit costs'!$C151*'Financial impact (cash)'!D$14)+('Unit costs'!$E151*'Financial impact (cash)'!D$16)+('Unit costs'!$F151*'Financial impact (cash)'!D$17)+('Unit costs'!$D151*'Financial impact (cash)'!D$15)+('Unit costs'!$G151*'Financial impact (cash)'!D$18)</f>
        <v>21.637443059706719</v>
      </c>
      <c r="E226" s="128">
        <f>('Unit costs'!$C151*'Financial impact (cash)'!E$14)+('Unit costs'!$E151*'Financial impact (cash)'!E$16)+('Unit costs'!$F151*'Financial impact (cash)'!E$17)+('Unit costs'!$D151*'Financial impact (cash)'!E$15)+('Unit costs'!$G151*'Financial impact (cash)'!E$18)</f>
        <v>26.834197748085298</v>
      </c>
      <c r="F226" s="128">
        <f>('Unit costs'!$C151*'Financial impact (cash)'!F$14)+('Unit costs'!$E151*'Financial impact (cash)'!F$16)+('Unit costs'!$F151*'Financial impact (cash)'!F$17)+('Unit costs'!$D151*'Financial impact (cash)'!F$15)+('Unit costs'!$G151*'Financial impact (cash)'!F$18)</f>
        <v>34.933607147506706</v>
      </c>
      <c r="G226" s="128">
        <f>('Unit costs'!$C151*'Financial impact (cash)'!G$14)+('Unit costs'!$E151*'Financial impact (cash)'!G$16)+('Unit costs'!$F151*'Financial impact (cash)'!G$17)+('Unit costs'!$D151*'Financial impact (cash)'!G$15)+('Unit costs'!$G151*'Financial impact (cash)'!G$18)</f>
        <v>42.42594225205837</v>
      </c>
      <c r="H226" s="128">
        <f>('Unit costs'!$C151*'Financial impact (cash)'!H$14)+('Unit costs'!$E151*'Financial impact (cash)'!H$16)+('Unit costs'!$F151*'Financial impact (cash)'!H$17)+('Unit costs'!$D151*'Financial impact (cash)'!H$15)+('Unit costs'!$G151*'Financial impact (cash)'!H$18)</f>
        <v>50.059509078060763</v>
      </c>
      <c r="I226" s="128">
        <f>('Unit costs'!$C151*'Financial impact (cash)'!I$14)+('Unit costs'!$E151*'Financial impact (cash)'!I$16)+('Unit costs'!$F151*'Financial impact (cash)'!I$17)+('Unit costs'!$D151*'Financial impact (cash)'!I$15)+('Unit costs'!$G151*'Financial impact (cash)'!I$18)</f>
        <v>50.54217322633022</v>
      </c>
      <c r="J226" s="297"/>
      <c r="K226" s="297"/>
      <c r="L226" s="299">
        <f>(D226*'Unit costs'!$P151)/1000</f>
        <v>32.329748495131554</v>
      </c>
      <c r="M226" s="299">
        <f>(E226*'Unit costs'!$P151)/1000</f>
        <v>40.094518648544145</v>
      </c>
      <c r="N226" s="299">
        <f>(F226*'Unit costs'!$P151)/1000</f>
        <v>52.196312197802271</v>
      </c>
      <c r="O226" s="299">
        <f>(G226*'Unit costs'!$P151)/1000</f>
        <v>63.391041117619636</v>
      </c>
      <c r="P226" s="299">
        <f>(H226*'Unit costs'!$P151)/1000</f>
        <v>74.796792477631868</v>
      </c>
      <c r="Q226" s="299">
        <f>(I226*'Unit costs'!$P151)/1000</f>
        <v>75.517968749620636</v>
      </c>
      <c r="R226" s="133"/>
      <c r="S226" s="133"/>
      <c r="T226" s="133"/>
      <c r="U226" s="133"/>
      <c r="V226" s="133"/>
      <c r="W226" s="133"/>
      <c r="X226" s="133"/>
      <c r="Y226" s="133"/>
      <c r="Z226" s="133"/>
      <c r="AJ226" s="292"/>
      <c r="AK226" s="292"/>
      <c r="AL226" s="292"/>
      <c r="AM226" s="292"/>
      <c r="AN226" s="292"/>
    </row>
    <row r="227" spans="1:40" x14ac:dyDescent="0.25">
      <c r="A227" s="297"/>
      <c r="B227" s="253" t="s">
        <v>1121</v>
      </c>
      <c r="C227" s="168"/>
      <c r="D227" s="128">
        <f>('Unit costs'!$C152*'Financial impact (cash)'!D$14)+('Unit costs'!$E152*'Financial impact (cash)'!D$16)+('Unit costs'!$F152*'Financial impact (cash)'!D$17)+('Unit costs'!$D152*'Financial impact (cash)'!D$15)+('Unit costs'!$G152*'Financial impact (cash)'!D$18)</f>
        <v>33.404734588891706</v>
      </c>
      <c r="E227" s="128">
        <f>('Unit costs'!$C152*'Financial impact (cash)'!E$14)+('Unit costs'!$E152*'Financial impact (cash)'!E$16)+('Unit costs'!$F152*'Financial impact (cash)'!E$17)+('Unit costs'!$D152*'Financial impact (cash)'!E$15)+('Unit costs'!$G152*'Financial impact (cash)'!E$18)</f>
        <v>48.202111009593615</v>
      </c>
      <c r="F227" s="128">
        <f>('Unit costs'!$C152*'Financial impact (cash)'!F$14)+('Unit costs'!$E152*'Financial impact (cash)'!F$16)+('Unit costs'!$F152*'Financial impact (cash)'!F$17)+('Unit costs'!$D152*'Financial impact (cash)'!F$15)+('Unit costs'!$G152*'Financial impact (cash)'!F$18)</f>
        <v>63.73418244495074</v>
      </c>
      <c r="G227" s="128">
        <f>('Unit costs'!$C152*'Financial impact (cash)'!G$14)+('Unit costs'!$E152*'Financial impact (cash)'!G$16)+('Unit costs'!$F152*'Financial impact (cash)'!G$17)+('Unit costs'!$D152*'Financial impact (cash)'!G$15)+('Unit costs'!$G152*'Financial impact (cash)'!G$18)</f>
        <v>78.592637961936219</v>
      </c>
      <c r="H227" s="128">
        <f>('Unit costs'!$C152*'Financial impact (cash)'!H$14)+('Unit costs'!$E152*'Financial impact (cash)'!H$16)+('Unit costs'!$F152*'Financial impact (cash)'!H$17)+('Unit costs'!$D152*'Financial impact (cash)'!H$15)+('Unit costs'!$G152*'Financial impact (cash)'!H$18)</f>
        <v>93.73169320024212</v>
      </c>
      <c r="I227" s="128">
        <f>('Unit costs'!$C152*'Financial impact (cash)'!I$14)+('Unit costs'!$E152*'Financial impact (cash)'!I$16)+('Unit costs'!$F152*'Financial impact (cash)'!I$17)+('Unit costs'!$D152*'Financial impact (cash)'!I$15)+('Unit costs'!$G152*'Financial impact (cash)'!I$18)</f>
        <v>94.635436139346879</v>
      </c>
      <c r="J227" s="297"/>
      <c r="K227" s="297"/>
      <c r="L227" s="299">
        <f>(D227*'Unit costs'!$P152)/1000</f>
        <v>67.137088138713196</v>
      </c>
      <c r="M227" s="299">
        <f>(E227*'Unit costs'!$P152)/1000</f>
        <v>96.876967147024175</v>
      </c>
      <c r="N227" s="299">
        <f>(F227*'Unit costs'!$P152)/1000</f>
        <v>128.09344175057103</v>
      </c>
      <c r="O227" s="299">
        <f>(G227*'Unit costs'!$P152)/1000</f>
        <v>157.95607798839123</v>
      </c>
      <c r="P227" s="299">
        <f>(H227*'Unit costs'!$P152)/1000</f>
        <v>188.38266566764131</v>
      </c>
      <c r="Q227" s="299">
        <f>(I227*'Unit costs'!$P152)/1000</f>
        <v>190.19901505955033</v>
      </c>
      <c r="R227" s="133"/>
      <c r="S227" s="133"/>
      <c r="T227" s="133"/>
      <c r="U227" s="133"/>
      <c r="V227" s="133"/>
      <c r="W227" s="133"/>
      <c r="X227" s="133"/>
      <c r="Y227" s="133"/>
      <c r="Z227" s="133"/>
      <c r="AJ227" s="292"/>
      <c r="AK227" s="292"/>
      <c r="AL227" s="292"/>
      <c r="AM227" s="292"/>
      <c r="AN227" s="292"/>
    </row>
    <row r="228" spans="1:40" x14ac:dyDescent="0.25">
      <c r="A228" s="297"/>
      <c r="B228" s="253" t="s">
        <v>1122</v>
      </c>
      <c r="C228" s="168"/>
      <c r="D228" s="128">
        <f>('Unit costs'!$C153*'Financial impact (cash)'!D$14)+('Unit costs'!$E153*'Financial impact (cash)'!D$16)+('Unit costs'!$F153*'Financial impact (cash)'!D$17)+('Unit costs'!$D153*'Financial impact (cash)'!D$15)+('Unit costs'!$G153*'Financial impact (cash)'!D$18)</f>
        <v>284.12878585336654</v>
      </c>
      <c r="E228" s="128">
        <f>('Unit costs'!$C153*'Financial impact (cash)'!E$14)+('Unit costs'!$E153*'Financial impact (cash)'!E$16)+('Unit costs'!$F153*'Financial impact (cash)'!E$17)+('Unit costs'!$D153*'Financial impact (cash)'!E$15)+('Unit costs'!$G153*'Financial impact (cash)'!E$18)</f>
        <v>319.0069597112614</v>
      </c>
      <c r="F228" s="128">
        <f>('Unit costs'!$C153*'Financial impact (cash)'!F$14)+('Unit costs'!$E153*'Financial impact (cash)'!F$16)+('Unit costs'!$F153*'Financial impact (cash)'!F$17)+('Unit costs'!$D153*'Financial impact (cash)'!F$15)+('Unit costs'!$G153*'Financial impact (cash)'!F$18)</f>
        <v>359.24014976941925</v>
      </c>
      <c r="G228" s="128">
        <f>('Unit costs'!$C153*'Financial impact (cash)'!G$14)+('Unit costs'!$E153*'Financial impact (cash)'!G$16)+('Unit costs'!$F153*'Financial impact (cash)'!G$17)+('Unit costs'!$D153*'Financial impact (cash)'!G$15)+('Unit costs'!$G153*'Financial impact (cash)'!G$18)</f>
        <v>397.49144656991035</v>
      </c>
      <c r="H228" s="128">
        <f>('Unit costs'!$C153*'Financial impact (cash)'!H$14)+('Unit costs'!$E153*'Financial impact (cash)'!H$16)+('Unit costs'!$F153*'Financial impact (cash)'!H$17)+('Unit costs'!$D153*'Financial impact (cash)'!H$15)+('Unit costs'!$G153*'Financial impact (cash)'!H$18)</f>
        <v>436.44697008503135</v>
      </c>
      <c r="I228" s="128">
        <f>('Unit costs'!$C153*'Financial impact (cash)'!I$14)+('Unit costs'!$E153*'Financial impact (cash)'!I$16)+('Unit costs'!$F153*'Financial impact (cash)'!I$17)+('Unit costs'!$D153*'Financial impact (cash)'!I$15)+('Unit costs'!$G153*'Financial impact (cash)'!I$18)</f>
        <v>440.65510773880635</v>
      </c>
      <c r="J228" s="297"/>
      <c r="K228" s="297"/>
      <c r="L228" s="299">
        <f>(D228*'Unit costs'!$P153)/1000</f>
        <v>225.79573192843992</v>
      </c>
      <c r="M228" s="299">
        <f>(E228*'Unit costs'!$P153)/1000</f>
        <v>253.51324309478497</v>
      </c>
      <c r="N228" s="299">
        <f>(F228*'Unit costs'!$P153)/1000</f>
        <v>285.48635898205066</v>
      </c>
      <c r="O228" s="299">
        <f>(G228*'Unit costs'!$P153)/1000</f>
        <v>315.88447416189121</v>
      </c>
      <c r="P228" s="299">
        <f>(H228*'Unit costs'!$P153)/1000</f>
        <v>346.84223480671284</v>
      </c>
      <c r="Q228" s="299">
        <f>(I228*'Unit costs'!$P153)/1000</f>
        <v>350.18642085507793</v>
      </c>
      <c r="R228" s="133"/>
      <c r="S228" s="133"/>
      <c r="T228" s="133"/>
      <c r="U228" s="133"/>
      <c r="V228" s="133"/>
      <c r="W228" s="133"/>
      <c r="X228" s="133"/>
      <c r="Y228" s="133"/>
      <c r="Z228" s="133"/>
      <c r="AJ228" s="292"/>
      <c r="AK228" s="292"/>
      <c r="AL228" s="292"/>
      <c r="AM228" s="292"/>
      <c r="AN228" s="292"/>
    </row>
    <row r="229" spans="1:40" x14ac:dyDescent="0.25">
      <c r="A229" s="297"/>
      <c r="B229" s="286"/>
      <c r="C229" s="211"/>
      <c r="D229" s="187">
        <f>SUM(D212:D228)</f>
        <v>1178.9774657115706</v>
      </c>
      <c r="E229" s="187">
        <f t="shared" ref="E229:I229" si="89">SUM(E212:E228)</f>
        <v>1307.4605130982677</v>
      </c>
      <c r="F229" s="187">
        <f t="shared" si="89"/>
        <v>1467.1256035757094</v>
      </c>
      <c r="G229" s="187">
        <f t="shared" si="89"/>
        <v>1617.9378830177109</v>
      </c>
      <c r="H229" s="187">
        <f t="shared" si="89"/>
        <v>1771.5219778563287</v>
      </c>
      <c r="I229" s="187">
        <f t="shared" si="89"/>
        <v>1788.6026516849379</v>
      </c>
      <c r="J229" s="297"/>
      <c r="K229" s="297"/>
      <c r="L229" s="300">
        <f>SUM(L212:L228)</f>
        <v>1066.7423945440019</v>
      </c>
      <c r="M229" s="300">
        <f t="shared" ref="M229:P229" si="90">SUM(M212:M228)</f>
        <v>1221.328708532405</v>
      </c>
      <c r="N229" s="300">
        <f t="shared" si="90"/>
        <v>1409.5691725351005</v>
      </c>
      <c r="O229" s="300">
        <f t="shared" si="90"/>
        <v>1587.4999195416835</v>
      </c>
      <c r="P229" s="300">
        <f t="shared" si="90"/>
        <v>1768.7307747328557</v>
      </c>
      <c r="Q229" s="300">
        <f>SUM(Q212:Q228)</f>
        <v>1785.7845363183551</v>
      </c>
      <c r="R229" s="133"/>
      <c r="S229" s="133"/>
      <c r="T229" s="133"/>
      <c r="U229" s="133"/>
      <c r="V229" s="133"/>
      <c r="W229" s="133"/>
      <c r="X229" s="133"/>
      <c r="Y229" s="133"/>
      <c r="Z229" s="133"/>
      <c r="AJ229" s="292"/>
      <c r="AK229" s="292"/>
      <c r="AL229" s="292"/>
      <c r="AM229" s="292"/>
      <c r="AN229" s="292"/>
    </row>
    <row r="230" spans="1:40" x14ac:dyDescent="0.25">
      <c r="A230" s="297"/>
      <c r="B230" s="312"/>
      <c r="C230" s="211"/>
      <c r="D230" s="291" t="s">
        <v>778</v>
      </c>
      <c r="E230" s="187">
        <f>E229-$D$229</f>
        <v>128.48304738669708</v>
      </c>
      <c r="F230" s="187">
        <f>F229-$D$229</f>
        <v>288.14813786413879</v>
      </c>
      <c r="G230" s="187">
        <f>G229-$D$229</f>
        <v>438.96041730614024</v>
      </c>
      <c r="H230" s="187">
        <f>H229-$D$229</f>
        <v>592.54451214475807</v>
      </c>
      <c r="I230" s="187">
        <f>I229-$D$229</f>
        <v>609.62518597336725</v>
      </c>
      <c r="J230" s="297"/>
      <c r="K230" s="297"/>
      <c r="L230" s="593"/>
      <c r="M230" s="300">
        <f>M229-$L$229</f>
        <v>154.58631398840316</v>
      </c>
      <c r="N230" s="300">
        <f>N229-$L$229</f>
        <v>342.82677799109865</v>
      </c>
      <c r="O230" s="300">
        <f>O229-$L$229</f>
        <v>520.75752499768168</v>
      </c>
      <c r="P230" s="300">
        <f>P229-$L$229</f>
        <v>701.98838018885385</v>
      </c>
      <c r="Q230" s="300">
        <f>Q229-$L$229</f>
        <v>719.04214177435324</v>
      </c>
    </row>
    <row r="231" spans="1:40" x14ac:dyDescent="0.25">
      <c r="A231" s="297"/>
      <c r="B231" s="297"/>
      <c r="C231" s="297"/>
      <c r="D231" s="297"/>
      <c r="E231" s="297"/>
      <c r="F231" s="297"/>
      <c r="G231" s="297"/>
      <c r="H231" s="297"/>
      <c r="I231" s="297"/>
      <c r="J231" s="297"/>
      <c r="K231" s="297"/>
      <c r="L231" s="297"/>
      <c r="M231" s="297"/>
      <c r="N231" s="297"/>
      <c r="O231" s="297"/>
      <c r="P231" s="297"/>
      <c r="Q231" s="297"/>
    </row>
    <row r="232" spans="1:40" x14ac:dyDescent="0.25">
      <c r="B232"/>
    </row>
    <row r="233" spans="1:40" x14ac:dyDescent="0.25">
      <c r="B233"/>
    </row>
    <row r="234" spans="1:40" x14ac:dyDescent="0.25">
      <c r="B234"/>
    </row>
    <row r="235" spans="1:40" x14ac:dyDescent="0.25">
      <c r="B235"/>
    </row>
    <row r="236" spans="1:40" x14ac:dyDescent="0.25">
      <c r="B236"/>
    </row>
  </sheetData>
  <sheetProtection algorithmName="SHA-512" hashValue="yZylGqy4OJka45+E29hEd8usXb/gDG/H+XOWR0RZZAwqhaNuelSvfKTIi2EveYuxF18eOVXe6k3SRsFJfck0EQ==" saltValue="XCD18/isVoP0xm49fYYu/g==" spinCount="100000" sheet="1" objects="1" scenarios="1"/>
  <protectedRanges>
    <protectedRange sqref="B212:B228" name="Range1_1"/>
  </protectedRanges>
  <pageMargins left="0.70866141732283472" right="0.70866141732283472" top="0.74803149606299213" bottom="0.74803149606299213" header="0.31496062992125984" footer="0.31496062992125984"/>
  <pageSetup paperSize="9" scale="33" fitToHeight="0" orientation="portrait" horizontalDpi="4294967293" r:id="rId1"/>
  <rowBreaks count="1" manualBreakCount="1">
    <brk id="156"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53378-7BCC-4BF4-9326-0731752C5380}">
  <sheetPr>
    <tabColor theme="8" tint="-0.499984740745262"/>
    <pageSetUpPr fitToPage="1"/>
  </sheetPr>
  <dimension ref="A1:AN234"/>
  <sheetViews>
    <sheetView showGridLines="0" zoomScale="70" zoomScaleNormal="70" zoomScaleSheetLayoutView="30" workbookViewId="0">
      <selection activeCell="B158" sqref="B158"/>
    </sheetView>
  </sheetViews>
  <sheetFormatPr defaultColWidth="8.85546875" defaultRowHeight="15" x14ac:dyDescent="0.25"/>
  <cols>
    <col min="1" max="1" width="3.5703125" customWidth="1"/>
    <col min="2" max="2" width="75" style="1" customWidth="1"/>
    <col min="3" max="9" width="12.5703125" customWidth="1"/>
    <col min="10" max="10" width="1.85546875" customWidth="1"/>
    <col min="11" max="11" width="10.85546875" customWidth="1"/>
    <col min="12" max="18" width="11.7109375" customWidth="1"/>
    <col min="19" max="19" width="11.42578125" customWidth="1"/>
    <col min="20" max="20" width="11.7109375" customWidth="1"/>
    <col min="21" max="26" width="10.85546875" customWidth="1"/>
    <col min="28" max="41" width="0" hidden="1" customWidth="1"/>
  </cols>
  <sheetData>
    <row r="1" spans="1:40" ht="30" customHeight="1" x14ac:dyDescent="0.25">
      <c r="B1" s="785" t="str">
        <f>'Unit costs'!B1</f>
        <v>Selinexor with bortezomib and dexamethasone for previously treated multiple myeloma 
(TA974)</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 customHeight="1" x14ac:dyDescent="0.25">
      <c r="B2" s="216" t="s">
        <v>779</v>
      </c>
      <c r="C2" s="127" t="s">
        <v>108</v>
      </c>
      <c r="D2" s="127" t="s">
        <v>108</v>
      </c>
      <c r="E2" s="127" t="s">
        <v>108</v>
      </c>
      <c r="F2" s="127" t="s">
        <v>108</v>
      </c>
      <c r="G2" s="127" t="s">
        <v>108</v>
      </c>
      <c r="H2" s="127" t="s">
        <v>108</v>
      </c>
      <c r="I2" s="127" t="s">
        <v>108</v>
      </c>
      <c r="J2" s="127" t="s">
        <v>108</v>
      </c>
      <c r="K2" s="127"/>
      <c r="L2" s="127" t="s">
        <v>108</v>
      </c>
      <c r="M2" s="127" t="s">
        <v>108</v>
      </c>
      <c r="N2" s="127" t="s">
        <v>108</v>
      </c>
      <c r="O2" s="127" t="s">
        <v>108</v>
      </c>
      <c r="P2" s="127" t="s">
        <v>108</v>
      </c>
      <c r="Q2" s="127"/>
      <c r="R2" s="127"/>
      <c r="S2" s="127"/>
      <c r="T2" s="127"/>
      <c r="U2" s="127"/>
      <c r="V2" s="127"/>
      <c r="W2" s="127"/>
      <c r="X2" s="127"/>
      <c r="Y2" s="127"/>
      <c r="Z2" s="127"/>
    </row>
    <row r="3" spans="1:40" ht="14.45" customHeight="1" x14ac:dyDescent="0.25">
      <c r="B3" s="130" t="s">
        <v>108</v>
      </c>
      <c r="C3" s="133" t="s">
        <v>108</v>
      </c>
      <c r="D3" s="133" t="s">
        <v>108</v>
      </c>
      <c r="E3" s="133" t="s">
        <v>108</v>
      </c>
      <c r="F3" s="133" t="s">
        <v>108</v>
      </c>
      <c r="G3" s="133" t="s">
        <v>108</v>
      </c>
      <c r="H3" s="133" t="s">
        <v>108</v>
      </c>
      <c r="I3" s="133" t="s">
        <v>108</v>
      </c>
      <c r="J3" s="133" t="s">
        <v>108</v>
      </c>
      <c r="K3" s="133"/>
      <c r="L3" s="133" t="s">
        <v>108</v>
      </c>
      <c r="M3" s="133" t="s">
        <v>108</v>
      </c>
      <c r="N3" s="133" t="s">
        <v>108</v>
      </c>
      <c r="O3" s="133" t="s">
        <v>108</v>
      </c>
      <c r="P3" s="133" t="s">
        <v>108</v>
      </c>
      <c r="Q3" s="133"/>
      <c r="R3" s="133"/>
      <c r="S3" s="127"/>
      <c r="T3" s="127"/>
      <c r="U3" s="127"/>
      <c r="V3" s="127"/>
      <c r="W3" s="127"/>
      <c r="X3" s="127"/>
      <c r="Y3" s="133"/>
      <c r="Z3" s="133"/>
    </row>
    <row r="4" spans="1:40" ht="14.45" customHeight="1" x14ac:dyDescent="0.25">
      <c r="B4" t="s">
        <v>749</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27"/>
      <c r="T5" s="127"/>
      <c r="U5" s="127"/>
      <c r="V5" s="127"/>
      <c r="W5" s="127"/>
      <c r="X5" s="127"/>
      <c r="Y5" s="133"/>
      <c r="Z5" s="133"/>
    </row>
    <row r="6" spans="1:40" ht="45" x14ac:dyDescent="0.25">
      <c r="B6" s="263" t="s">
        <v>37</v>
      </c>
      <c r="C6" s="211"/>
      <c r="D6" s="434" t="s">
        <v>743</v>
      </c>
      <c r="E6" s="261" t="s">
        <v>51</v>
      </c>
      <c r="F6" s="261" t="s">
        <v>52</v>
      </c>
      <c r="G6" s="165" t="s">
        <v>744</v>
      </c>
      <c r="H6" s="165" t="s">
        <v>745</v>
      </c>
      <c r="I6" s="261" t="s">
        <v>746</v>
      </c>
      <c r="L6" s="434" t="s">
        <v>743</v>
      </c>
      <c r="M6" s="261" t="s">
        <v>51</v>
      </c>
      <c r="N6" s="261" t="s">
        <v>52</v>
      </c>
      <c r="O6" s="165" t="s">
        <v>744</v>
      </c>
      <c r="P6" s="165" t="s">
        <v>745</v>
      </c>
      <c r="Q6" s="261" t="s">
        <v>746</v>
      </c>
      <c r="R6" s="133"/>
      <c r="S6" s="127"/>
      <c r="T6" s="127"/>
      <c r="U6" s="127"/>
      <c r="V6" s="127"/>
      <c r="W6" s="127"/>
      <c r="X6" s="127"/>
      <c r="Y6" s="133"/>
      <c r="Z6" s="133"/>
      <c r="AJ6" s="292"/>
      <c r="AK6" s="292"/>
      <c r="AL6" s="292"/>
      <c r="AM6" s="292"/>
      <c r="AN6" s="292"/>
    </row>
    <row r="7" spans="1:40" ht="14.45" customHeight="1" x14ac:dyDescent="0.25">
      <c r="B7" s="228" t="s">
        <v>1286</v>
      </c>
      <c r="C7" s="168"/>
      <c r="D7" s="391">
        <f>'Inputs and eligible population'!F48</f>
        <v>2142.9168206725581</v>
      </c>
      <c r="E7" s="391">
        <f>'Inputs and eligible population'!G48</f>
        <v>2163.5784120686976</v>
      </c>
      <c r="F7" s="391">
        <f>'Inputs and eligible population'!H48</f>
        <v>2184.4392185509769</v>
      </c>
      <c r="G7" s="391">
        <f>'Inputs and eligible population'!I48</f>
        <v>2205.5011609129006</v>
      </c>
      <c r="H7" s="391">
        <f>'Inputs and eligible population'!J48</f>
        <v>2226.7661784678944</v>
      </c>
      <c r="I7" s="391">
        <f>'Inputs and eligible population'!K48</f>
        <v>2248.2362292278704</v>
      </c>
      <c r="P7" s="133"/>
      <c r="Q7" s="133"/>
      <c r="R7" s="133"/>
      <c r="S7" s="127"/>
      <c r="T7" s="127"/>
      <c r="U7" s="127"/>
      <c r="V7" s="127"/>
      <c r="W7" s="127"/>
      <c r="X7" s="127"/>
      <c r="Y7" s="133"/>
      <c r="Z7" s="133"/>
      <c r="AJ7" s="292"/>
      <c r="AK7" s="292"/>
      <c r="AL7" s="292"/>
      <c r="AM7" s="292"/>
      <c r="AN7" s="292"/>
    </row>
    <row r="8" spans="1:40" ht="14.45" customHeight="1" x14ac:dyDescent="0.25">
      <c r="B8"/>
      <c r="P8" s="133"/>
      <c r="Q8" s="133"/>
      <c r="R8" s="133"/>
      <c r="S8" s="127"/>
      <c r="T8" s="127"/>
      <c r="U8" s="127"/>
      <c r="V8" s="127"/>
      <c r="W8" s="127"/>
      <c r="X8" s="127"/>
      <c r="Y8" s="133"/>
      <c r="Z8" s="133"/>
      <c r="AJ8" s="292"/>
      <c r="AK8" s="292"/>
      <c r="AL8" s="292"/>
      <c r="AM8" s="292"/>
      <c r="AN8" s="292"/>
    </row>
    <row r="9" spans="1:40" ht="14.45" customHeight="1" x14ac:dyDescent="0.25">
      <c r="B9" s="285" t="s">
        <v>750</v>
      </c>
      <c r="C9" s="451"/>
      <c r="D9" s="451"/>
      <c r="E9" s="452"/>
      <c r="F9" s="451"/>
      <c r="G9" s="453"/>
      <c r="H9" s="454"/>
      <c r="I9" s="454"/>
      <c r="J9" s="160"/>
      <c r="L9" s="257" t="s">
        <v>166</v>
      </c>
      <c r="M9" s="257" t="s">
        <v>166</v>
      </c>
      <c r="N9" s="257" t="s">
        <v>166</v>
      </c>
      <c r="O9" s="257" t="s">
        <v>166</v>
      </c>
      <c r="P9" s="257" t="s">
        <v>166</v>
      </c>
      <c r="Q9" s="257" t="s">
        <v>166</v>
      </c>
      <c r="R9" s="133"/>
      <c r="S9" s="127"/>
      <c r="T9" s="127"/>
      <c r="U9" s="127"/>
      <c r="V9" s="127"/>
      <c r="W9" s="127"/>
      <c r="X9" s="127"/>
      <c r="Y9" s="133"/>
      <c r="Z9" s="133"/>
      <c r="AJ9" s="292"/>
      <c r="AK9" s="292"/>
      <c r="AL9" s="292"/>
      <c r="AM9" s="292"/>
      <c r="AN9" s="292"/>
    </row>
    <row r="10" spans="1:40" ht="14.45" customHeight="1" x14ac:dyDescent="0.25">
      <c r="A10" s="294"/>
      <c r="B10" s="458" t="str">
        <f>B32</f>
        <v>First attendances - number of appointments</v>
      </c>
      <c r="C10" s="396"/>
      <c r="D10" s="436">
        <f t="shared" ref="D10:I10" si="0">D39</f>
        <v>2142.9168206725581</v>
      </c>
      <c r="E10" s="436">
        <f t="shared" si="0"/>
        <v>2163.8643475416584</v>
      </c>
      <c r="F10" s="436">
        <f t="shared" si="0"/>
        <v>2184.4392185509769</v>
      </c>
      <c r="G10" s="436">
        <f t="shared" si="0"/>
        <v>2205.5011609129006</v>
      </c>
      <c r="H10" s="436">
        <f t="shared" si="0"/>
        <v>2226.7661784678944</v>
      </c>
      <c r="I10" s="436">
        <f t="shared" si="0"/>
        <v>2248.2362292278704</v>
      </c>
      <c r="L10" s="299">
        <f t="shared" ref="L10:Q10" si="1">L39</f>
        <v>662.1612975878204</v>
      </c>
      <c r="M10" s="299">
        <f t="shared" si="1"/>
        <v>668.63408339037244</v>
      </c>
      <c r="N10" s="299">
        <f t="shared" si="1"/>
        <v>674.99171853225175</v>
      </c>
      <c r="O10" s="299">
        <f t="shared" si="1"/>
        <v>681.49985872208629</v>
      </c>
      <c r="P10" s="299">
        <f t="shared" si="1"/>
        <v>688.07074914657937</v>
      </c>
      <c r="Q10" s="299">
        <f t="shared" si="1"/>
        <v>694.70499483141202</v>
      </c>
      <c r="R10" s="133"/>
      <c r="S10" s="133"/>
      <c r="T10" s="133"/>
      <c r="U10" s="133"/>
      <c r="V10" s="133"/>
      <c r="W10" s="133"/>
      <c r="X10" s="133"/>
      <c r="Y10" s="133"/>
      <c r="Z10" s="133"/>
      <c r="AJ10" s="292"/>
      <c r="AK10" s="292"/>
      <c r="AL10" s="292"/>
      <c r="AM10" s="292"/>
      <c r="AN10" s="292"/>
    </row>
    <row r="11" spans="1:40" ht="14.45" customHeight="1" x14ac:dyDescent="0.25">
      <c r="A11" s="294"/>
      <c r="B11" s="458" t="str">
        <f>B42</f>
        <v>Follow up attendances - number of appointments</v>
      </c>
      <c r="C11" s="396"/>
      <c r="D11" s="436">
        <f t="shared" ref="D11:I11" si="2">D49</f>
        <v>40584.497549293606</v>
      </c>
      <c r="E11" s="436">
        <f t="shared" si="2"/>
        <v>39877.214919925129</v>
      </c>
      <c r="F11" s="436">
        <f t="shared" si="2"/>
        <v>38327.12419857159</v>
      </c>
      <c r="G11" s="436">
        <f t="shared" si="2"/>
        <v>37509.217782054358</v>
      </c>
      <c r="H11" s="436">
        <f t="shared" si="2"/>
        <v>36589.358517059562</v>
      </c>
      <c r="I11" s="436">
        <f t="shared" si="2"/>
        <v>37619.527542152791</v>
      </c>
      <c r="L11" s="299">
        <f t="shared" ref="L11:Q11" si="3">L49</f>
        <v>5681.8296569011045</v>
      </c>
      <c r="M11" s="299">
        <f t="shared" si="3"/>
        <v>5582.810088789518</v>
      </c>
      <c r="N11" s="299">
        <f t="shared" si="3"/>
        <v>5365.797387800023</v>
      </c>
      <c r="O11" s="299">
        <f t="shared" si="3"/>
        <v>5251.290489487611</v>
      </c>
      <c r="P11" s="299">
        <f t="shared" si="3"/>
        <v>5122.5101923883385</v>
      </c>
      <c r="Q11" s="299">
        <f t="shared" si="3"/>
        <v>5266.7338559013915</v>
      </c>
      <c r="R11" s="133"/>
      <c r="S11" s="133"/>
      <c r="T11" s="133"/>
      <c r="U11" s="133"/>
      <c r="V11" s="133"/>
      <c r="W11" s="133"/>
      <c r="X11" s="133"/>
      <c r="Y11" s="133"/>
      <c r="Z11" s="133"/>
      <c r="AJ11" s="292"/>
      <c r="AK11" s="292"/>
      <c r="AL11" s="292"/>
      <c r="AM11" s="292"/>
      <c r="AN11" s="292"/>
    </row>
    <row r="12" spans="1:40" ht="14.45" customHeight="1" x14ac:dyDescent="0.25">
      <c r="A12" s="302"/>
      <c r="B12" s="455" t="str">
        <f>B52</f>
        <v>Administrations</v>
      </c>
      <c r="C12" s="430"/>
      <c r="D12" s="429">
        <f t="shared" ref="D12:I12" si="4">D57</f>
        <v>132827.09194177299</v>
      </c>
      <c r="E12" s="429">
        <f t="shared" si="4"/>
        <v>133956.41197540786</v>
      </c>
      <c r="F12" s="429">
        <f t="shared" si="4"/>
        <v>137639.50825959211</v>
      </c>
      <c r="G12" s="429">
        <f t="shared" si="4"/>
        <v>144518.98296567146</v>
      </c>
      <c r="H12" s="429">
        <f t="shared" si="4"/>
        <v>151275.15847006871</v>
      </c>
      <c r="I12" s="429">
        <f t="shared" si="4"/>
        <v>156344.77570089762</v>
      </c>
      <c r="L12" s="299">
        <f t="shared" ref="L12:P12" si="5">L57</f>
        <v>43939.244321639169</v>
      </c>
      <c r="M12" s="299">
        <f t="shared" si="5"/>
        <v>44405.560648563202</v>
      </c>
      <c r="N12" s="299">
        <f t="shared" si="5"/>
        <v>45816.979935384057</v>
      </c>
      <c r="O12" s="299">
        <f t="shared" si="5"/>
        <v>48374.728279827112</v>
      </c>
      <c r="P12" s="299">
        <f t="shared" si="5"/>
        <v>50893.648065323796</v>
      </c>
      <c r="Q12" s="299">
        <f>Q57</f>
        <v>52713.136820097199</v>
      </c>
      <c r="R12" s="133"/>
      <c r="S12" s="133"/>
      <c r="T12" s="133"/>
      <c r="U12" s="133"/>
      <c r="V12" s="133"/>
      <c r="W12" s="133"/>
      <c r="X12" s="133"/>
      <c r="Y12" s="133"/>
      <c r="Z12" s="133"/>
      <c r="AJ12" s="292"/>
      <c r="AK12" s="292"/>
      <c r="AL12" s="292"/>
      <c r="AM12" s="292"/>
      <c r="AN12" s="292"/>
    </row>
    <row r="13" spans="1:40" ht="14.45" customHeight="1" x14ac:dyDescent="0.25">
      <c r="A13" s="293"/>
      <c r="B13" s="456" t="str">
        <f>B82</f>
        <v>Administrations - duration of administrations (hours)</v>
      </c>
      <c r="C13" s="463"/>
      <c r="D13" s="431">
        <f t="shared" ref="D13:I13" si="6">D89</f>
        <v>34749.845295000581</v>
      </c>
      <c r="E13" s="431">
        <f t="shared" si="6"/>
        <v>35353.320448363287</v>
      </c>
      <c r="F13" s="431">
        <f t="shared" si="6"/>
        <v>38951.186143609819</v>
      </c>
      <c r="G13" s="431">
        <f t="shared" si="6"/>
        <v>44425.887653319143</v>
      </c>
      <c r="H13" s="431">
        <f t="shared" si="6"/>
        <v>49807.647013362854</v>
      </c>
      <c r="I13" s="431">
        <f t="shared" si="6"/>
        <v>52792.443317153025</v>
      </c>
      <c r="L13" s="209"/>
      <c r="M13" s="209"/>
      <c r="N13" s="209"/>
      <c r="O13" s="209"/>
      <c r="P13" s="428"/>
      <c r="Q13" s="428"/>
      <c r="R13" s="133"/>
      <c r="S13" s="133"/>
      <c r="T13" s="133"/>
      <c r="U13" s="133"/>
      <c r="V13" s="133"/>
      <c r="W13" s="133"/>
      <c r="X13" s="133"/>
      <c r="Y13" s="133"/>
      <c r="Z13" s="133"/>
      <c r="AJ13" s="292"/>
      <c r="AK13" s="292"/>
      <c r="AL13" s="292"/>
      <c r="AM13" s="292"/>
      <c r="AN13" s="292"/>
    </row>
    <row r="14" spans="1:40" ht="14.45" customHeight="1" x14ac:dyDescent="0.25">
      <c r="A14" s="293"/>
      <c r="B14" s="456" t="str">
        <f>B92</f>
        <v>Preparation time before administration (hours)</v>
      </c>
      <c r="C14" s="463"/>
      <c r="D14" s="431">
        <f t="shared" ref="D14:I14" si="7">D99</f>
        <v>41526.819740377541</v>
      </c>
      <c r="E14" s="431">
        <f t="shared" si="7"/>
        <v>42166.908087454183</v>
      </c>
      <c r="F14" s="431">
        <f t="shared" si="7"/>
        <v>45410.689001161678</v>
      </c>
      <c r="G14" s="431">
        <f t="shared" si="7"/>
        <v>50487.95959902586</v>
      </c>
      <c r="H14" s="431">
        <f t="shared" si="7"/>
        <v>55482.351320682967</v>
      </c>
      <c r="I14" s="431">
        <f t="shared" si="7"/>
        <v>58397.205539418719</v>
      </c>
      <c r="L14" s="209"/>
      <c r="M14" s="209"/>
      <c r="N14" s="209"/>
      <c r="O14" s="209"/>
      <c r="P14" s="428"/>
      <c r="Q14" s="428"/>
      <c r="R14" s="133"/>
      <c r="S14" s="133"/>
      <c r="T14" s="133"/>
      <c r="U14" s="133"/>
      <c r="V14" s="133"/>
      <c r="W14" s="133"/>
      <c r="X14" s="133"/>
      <c r="Y14" s="133"/>
      <c r="Z14" s="133"/>
      <c r="AJ14" s="292"/>
      <c r="AK14" s="292"/>
      <c r="AL14" s="292"/>
      <c r="AM14" s="292"/>
      <c r="AN14" s="292"/>
    </row>
    <row r="15" spans="1:40" ht="14.45" customHeight="1" x14ac:dyDescent="0.25">
      <c r="A15" s="293"/>
      <c r="B15" s="456" t="str">
        <f>B102</f>
        <v>Post administration nursing time (hours)</v>
      </c>
      <c r="C15" s="463"/>
      <c r="D15" s="431">
        <f t="shared" ref="D15:I15" si="8">D109</f>
        <v>41526.819740377541</v>
      </c>
      <c r="E15" s="432">
        <f t="shared" si="8"/>
        <v>42166.908087454183</v>
      </c>
      <c r="F15" s="431">
        <f t="shared" si="8"/>
        <v>45410.689001161678</v>
      </c>
      <c r="G15" s="431">
        <f t="shared" si="8"/>
        <v>50487.95959902586</v>
      </c>
      <c r="H15" s="431">
        <f t="shared" si="8"/>
        <v>55482.351320682967</v>
      </c>
      <c r="I15" s="431">
        <f t="shared" si="8"/>
        <v>58397.205539418719</v>
      </c>
      <c r="L15" s="209"/>
      <c r="M15" s="209"/>
      <c r="N15" s="209"/>
      <c r="O15" s="209"/>
      <c r="P15" s="428"/>
      <c r="Q15" s="428"/>
      <c r="R15" s="133"/>
      <c r="S15" s="133"/>
      <c r="T15" s="133"/>
      <c r="U15" s="133"/>
      <c r="V15" s="133"/>
      <c r="W15" s="133"/>
      <c r="X15" s="133"/>
      <c r="Y15" s="133"/>
      <c r="Z15" s="133"/>
      <c r="AJ15" s="292"/>
      <c r="AK15" s="292"/>
      <c r="AL15" s="292"/>
      <c r="AM15" s="292"/>
      <c r="AN15" s="292"/>
    </row>
    <row r="16" spans="1:40" ht="14.45" hidden="1" customHeight="1" x14ac:dyDescent="0.25">
      <c r="A16" s="295"/>
      <c r="B16" s="457" t="str">
        <f>B113</f>
        <v>In-house aseptic unit preparations, number made</v>
      </c>
      <c r="C16" s="464"/>
      <c r="D16" s="433" t="e">
        <f t="shared" ref="D16:I16" si="9">D118</f>
        <v>#REF!</v>
      </c>
      <c r="E16" s="433" t="e">
        <f t="shared" si="9"/>
        <v>#REF!</v>
      </c>
      <c r="F16" s="433" t="e">
        <f t="shared" si="9"/>
        <v>#REF!</v>
      </c>
      <c r="G16" s="433" t="e">
        <f t="shared" si="9"/>
        <v>#REF!</v>
      </c>
      <c r="H16" s="433" t="e">
        <f t="shared" si="9"/>
        <v>#REF!</v>
      </c>
      <c r="I16" s="433" t="e">
        <f t="shared" si="9"/>
        <v>#REF!</v>
      </c>
      <c r="L16" s="209"/>
      <c r="M16" s="209"/>
      <c r="N16" s="209"/>
      <c r="O16" s="209"/>
      <c r="P16" s="428"/>
      <c r="Q16" s="428"/>
      <c r="R16" s="133"/>
      <c r="S16" s="133"/>
      <c r="T16" s="133"/>
      <c r="U16" s="133"/>
      <c r="V16" s="133"/>
      <c r="W16" s="133"/>
      <c r="X16" s="133"/>
      <c r="Y16" s="133"/>
      <c r="Z16" s="133"/>
      <c r="AJ16" s="292"/>
      <c r="AK16" s="292"/>
      <c r="AL16" s="292"/>
      <c r="AM16" s="292"/>
      <c r="AN16" s="292"/>
    </row>
    <row r="17" spans="1:40" ht="14.45" hidden="1" customHeight="1" x14ac:dyDescent="0.25">
      <c r="A17" s="295"/>
      <c r="B17" s="457" t="str">
        <f>B121</f>
        <v>Bought-in aseptic unit preparations, number bought in</v>
      </c>
      <c r="C17" s="464"/>
      <c r="D17" s="433" t="e">
        <f t="shared" ref="D17:I17" si="10">D126</f>
        <v>#REF!</v>
      </c>
      <c r="E17" s="433" t="e">
        <f t="shared" si="10"/>
        <v>#REF!</v>
      </c>
      <c r="F17" s="433" t="e">
        <f t="shared" si="10"/>
        <v>#REF!</v>
      </c>
      <c r="G17" s="433" t="e">
        <f t="shared" si="10"/>
        <v>#REF!</v>
      </c>
      <c r="H17" s="433" t="e">
        <f t="shared" si="10"/>
        <v>#REF!</v>
      </c>
      <c r="I17" s="433" t="e">
        <f t="shared" si="10"/>
        <v>#REF!</v>
      </c>
      <c r="L17" s="209"/>
      <c r="M17" s="209"/>
      <c r="N17" s="209"/>
      <c r="O17" s="209"/>
      <c r="P17" s="428"/>
      <c r="Q17" s="428"/>
      <c r="R17" s="133"/>
      <c r="S17" s="133"/>
      <c r="T17" s="133"/>
      <c r="U17" s="133"/>
      <c r="V17" s="133"/>
      <c r="W17" s="133"/>
      <c r="X17" s="133"/>
      <c r="Y17" s="133"/>
      <c r="Z17" s="133"/>
      <c r="AJ17" s="292"/>
      <c r="AK17" s="292"/>
      <c r="AL17" s="292"/>
      <c r="AM17" s="292"/>
      <c r="AN17" s="292"/>
    </row>
    <row r="18" spans="1:40" ht="14.45" hidden="1" customHeight="1" x14ac:dyDescent="0.25">
      <c r="A18" s="295"/>
      <c r="B18" s="457" t="str">
        <f>B129</f>
        <v>In-house aseptic unit preparations, pharmacy time (hours)</v>
      </c>
      <c r="C18" s="464"/>
      <c r="D18" s="433" t="e">
        <f t="shared" ref="D18:I18" si="11">D134</f>
        <v>#REF!</v>
      </c>
      <c r="E18" s="433" t="e">
        <f t="shared" si="11"/>
        <v>#REF!</v>
      </c>
      <c r="F18" s="433" t="e">
        <f t="shared" si="11"/>
        <v>#REF!</v>
      </c>
      <c r="G18" s="433" t="e">
        <f t="shared" si="11"/>
        <v>#REF!</v>
      </c>
      <c r="H18" s="433" t="e">
        <f t="shared" si="11"/>
        <v>#REF!</v>
      </c>
      <c r="I18" s="433" t="e">
        <f t="shared" si="11"/>
        <v>#REF!</v>
      </c>
      <c r="L18" s="209"/>
      <c r="M18" s="209"/>
      <c r="N18" s="209"/>
      <c r="O18" s="209"/>
      <c r="P18" s="428"/>
      <c r="Q18" s="428"/>
      <c r="R18" s="133"/>
      <c r="S18" s="133"/>
      <c r="T18" s="133"/>
      <c r="U18" s="133"/>
      <c r="V18" s="133"/>
      <c r="W18" s="133"/>
      <c r="X18" s="133"/>
      <c r="Y18" s="133"/>
      <c r="Z18" s="133"/>
      <c r="AJ18" s="292"/>
      <c r="AK18" s="292"/>
      <c r="AL18" s="292"/>
      <c r="AM18" s="292"/>
      <c r="AN18" s="292"/>
    </row>
    <row r="19" spans="1:40" ht="14.45" hidden="1" customHeight="1" x14ac:dyDescent="0.25">
      <c r="A19" s="295"/>
      <c r="B19" s="457" t="str">
        <f>B137</f>
        <v>Bought-in aseptic unit preparations, pharmacy time (hours)</v>
      </c>
      <c r="C19" s="464"/>
      <c r="D19" s="433" t="e">
        <f t="shared" ref="D19:I19" si="12">D142</f>
        <v>#REF!</v>
      </c>
      <c r="E19" s="433" t="e">
        <f t="shared" si="12"/>
        <v>#REF!</v>
      </c>
      <c r="F19" s="433" t="e">
        <f t="shared" si="12"/>
        <v>#REF!</v>
      </c>
      <c r="G19" s="433" t="e">
        <f t="shared" si="12"/>
        <v>#REF!</v>
      </c>
      <c r="H19" s="433" t="e">
        <f t="shared" si="12"/>
        <v>#REF!</v>
      </c>
      <c r="I19" s="433" t="e">
        <f t="shared" si="12"/>
        <v>#REF!</v>
      </c>
      <c r="L19" s="209"/>
      <c r="M19" s="209"/>
      <c r="N19" s="209"/>
      <c r="O19" s="209"/>
      <c r="P19" s="428"/>
      <c r="Q19" s="428"/>
      <c r="R19" s="133"/>
      <c r="S19" s="133"/>
      <c r="T19" s="133"/>
      <c r="U19" s="133"/>
      <c r="V19" s="133"/>
      <c r="W19" s="133"/>
      <c r="X19" s="133"/>
      <c r="Y19" s="133"/>
      <c r="Z19" s="133"/>
      <c r="AJ19" s="292"/>
      <c r="AK19" s="292"/>
      <c r="AL19" s="292"/>
      <c r="AM19" s="292"/>
      <c r="AN19" s="292"/>
    </row>
    <row r="20" spans="1:40" ht="14.45" customHeight="1" x14ac:dyDescent="0.25">
      <c r="A20" s="295"/>
      <c r="B20" s="457" t="str">
        <f>B145</f>
        <v>Drug regimen prep (hours) (including aseptics)</v>
      </c>
      <c r="C20" s="464"/>
      <c r="D20" s="433">
        <f t="shared" ref="D20:I20" si="13">D152</f>
        <v>0</v>
      </c>
      <c r="E20" s="433">
        <f t="shared" si="13"/>
        <v>0</v>
      </c>
      <c r="F20" s="433">
        <f t="shared" si="13"/>
        <v>0</v>
      </c>
      <c r="G20" s="433">
        <f t="shared" si="13"/>
        <v>0</v>
      </c>
      <c r="H20" s="433">
        <f t="shared" si="13"/>
        <v>0</v>
      </c>
      <c r="I20" s="433">
        <f t="shared" si="13"/>
        <v>0</v>
      </c>
      <c r="L20" s="209"/>
      <c r="M20" s="209"/>
      <c r="N20" s="209"/>
      <c r="O20" s="209"/>
      <c r="P20" s="428"/>
      <c r="Q20" s="428"/>
      <c r="R20" s="133"/>
      <c r="S20" s="133"/>
      <c r="T20" s="133"/>
      <c r="U20" s="133"/>
      <c r="V20" s="133"/>
      <c r="W20" s="133"/>
      <c r="X20" s="133"/>
      <c r="Y20" s="133"/>
      <c r="Z20" s="133"/>
      <c r="AJ20" s="292"/>
      <c r="AK20" s="292"/>
      <c r="AL20" s="292"/>
      <c r="AM20" s="292"/>
      <c r="AN20" s="292"/>
    </row>
    <row r="21" spans="1:40" ht="14.45" customHeight="1" x14ac:dyDescent="0.25">
      <c r="A21" s="338"/>
      <c r="B21" s="459" t="str">
        <f>B156</f>
        <v>Appointments with x specialty</v>
      </c>
      <c r="C21" s="465"/>
      <c r="D21" s="437">
        <f t="shared" ref="D21:I21" si="14">D163</f>
        <v>0</v>
      </c>
      <c r="E21" s="437">
        <f t="shared" si="14"/>
        <v>0</v>
      </c>
      <c r="F21" s="437">
        <f t="shared" si="14"/>
        <v>0</v>
      </c>
      <c r="G21" s="437">
        <f t="shared" si="14"/>
        <v>0</v>
      </c>
      <c r="H21" s="437">
        <f t="shared" si="14"/>
        <v>0</v>
      </c>
      <c r="I21" s="437">
        <f t="shared" si="14"/>
        <v>0</v>
      </c>
      <c r="L21" s="299">
        <f t="shared" ref="L21:Q21" si="15">L163</f>
        <v>0</v>
      </c>
      <c r="M21" s="299">
        <f t="shared" si="15"/>
        <v>0</v>
      </c>
      <c r="N21" s="299">
        <f t="shared" si="15"/>
        <v>0</v>
      </c>
      <c r="O21" s="299">
        <f t="shared" si="15"/>
        <v>0</v>
      </c>
      <c r="P21" s="299">
        <f t="shared" si="15"/>
        <v>0</v>
      </c>
      <c r="Q21" s="299">
        <f t="shared" si="15"/>
        <v>0</v>
      </c>
      <c r="R21" s="133"/>
      <c r="S21" s="133"/>
      <c r="T21" s="133"/>
      <c r="U21" s="133"/>
      <c r="V21" s="133"/>
      <c r="W21" s="133"/>
      <c r="X21" s="133"/>
      <c r="Y21" s="133"/>
      <c r="Z21" s="133"/>
      <c r="AJ21" s="292"/>
      <c r="AK21" s="292"/>
      <c r="AL21" s="292"/>
      <c r="AM21" s="292"/>
      <c r="AN21" s="292"/>
    </row>
    <row r="22" spans="1:40" ht="14.45" customHeight="1" x14ac:dyDescent="0.25">
      <c r="A22" s="296"/>
      <c r="B22" s="460" t="str">
        <f>B167</f>
        <v>Full blood count</v>
      </c>
      <c r="C22" s="466"/>
      <c r="D22" s="438">
        <f t="shared" ref="D22:I22" si="16">D174</f>
        <v>40571.921663059387</v>
      </c>
      <c r="E22" s="438">
        <f t="shared" si="16"/>
        <v>40800.668656469956</v>
      </c>
      <c r="F22" s="438">
        <f t="shared" si="16"/>
        <v>40401.771309543721</v>
      </c>
      <c r="G22" s="438">
        <f t="shared" si="16"/>
        <v>39612.357436740604</v>
      </c>
      <c r="H22" s="438">
        <f t="shared" si="16"/>
        <v>38945.28233178558</v>
      </c>
      <c r="I22" s="438">
        <f t="shared" si="16"/>
        <v>38261.66106630992</v>
      </c>
      <c r="L22" s="209"/>
      <c r="M22" s="209"/>
      <c r="N22" s="209"/>
      <c r="O22" s="209"/>
      <c r="P22" s="428"/>
      <c r="Q22" s="428"/>
      <c r="R22" s="133"/>
      <c r="S22" s="133"/>
      <c r="T22" s="133"/>
      <c r="U22" s="133"/>
      <c r="V22" s="133"/>
      <c r="W22" s="133"/>
      <c r="X22" s="133"/>
      <c r="Y22" s="133"/>
      <c r="Z22" s="133"/>
      <c r="AJ22" s="292"/>
      <c r="AK22" s="292"/>
      <c r="AL22" s="292"/>
      <c r="AM22" s="292"/>
      <c r="AN22" s="292"/>
    </row>
    <row r="23" spans="1:40" ht="14.45" customHeight="1" x14ac:dyDescent="0.25">
      <c r="A23" s="296"/>
      <c r="B23" s="460" t="str">
        <f>B177</f>
        <v>Biochemistry tests</v>
      </c>
      <c r="C23" s="466"/>
      <c r="D23" s="438">
        <f t="shared" ref="D23:I23" si="17">D184</f>
        <v>36707.929123720394</v>
      </c>
      <c r="E23" s="438">
        <f t="shared" si="17"/>
        <v>37207.238556772732</v>
      </c>
      <c r="F23" s="438">
        <f t="shared" si="17"/>
        <v>36833.615109455168</v>
      </c>
      <c r="G23" s="438">
        <f t="shared" si="17"/>
        <v>36090.709919625944</v>
      </c>
      <c r="H23" s="438">
        <f t="shared" si="17"/>
        <v>35457.91326014795</v>
      </c>
      <c r="I23" s="438">
        <f t="shared" si="17"/>
        <v>34809.558840520884</v>
      </c>
      <c r="L23" s="209"/>
      <c r="M23" s="209"/>
      <c r="N23" s="209"/>
      <c r="O23" s="209"/>
      <c r="P23" s="428"/>
      <c r="Q23" s="428"/>
      <c r="R23" s="133"/>
      <c r="S23" s="133"/>
      <c r="T23" s="133"/>
      <c r="U23" s="133"/>
      <c r="V23" s="133"/>
      <c r="W23" s="133"/>
      <c r="X23" s="133"/>
      <c r="Y23" s="133"/>
      <c r="Z23" s="133"/>
      <c r="AJ23" s="292"/>
      <c r="AK23" s="292"/>
      <c r="AL23" s="292"/>
      <c r="AM23" s="292"/>
      <c r="AN23" s="292"/>
    </row>
    <row r="24" spans="1:40" ht="14.45" customHeight="1" x14ac:dyDescent="0.25">
      <c r="A24" s="296"/>
      <c r="B24" s="460" t="str">
        <f>B187</f>
        <v>Immunoglobulin tests</v>
      </c>
      <c r="C24" s="466"/>
      <c r="D24" s="438">
        <f t="shared" ref="D24:I24" si="18">D194</f>
        <v>23183.955236033933</v>
      </c>
      <c r="E24" s="438">
        <f t="shared" si="18"/>
        <v>24630.233207832443</v>
      </c>
      <c r="F24" s="438">
        <f t="shared" si="18"/>
        <v>24345.068409145235</v>
      </c>
      <c r="G24" s="438">
        <f t="shared" si="18"/>
        <v>23764.943609724622</v>
      </c>
      <c r="H24" s="438">
        <f t="shared" si="18"/>
        <v>23252.121509416243</v>
      </c>
      <c r="I24" s="438">
        <f t="shared" si="18"/>
        <v>22727.201050259224</v>
      </c>
      <c r="L24" s="209"/>
      <c r="M24" s="209"/>
      <c r="N24" s="209"/>
      <c r="O24" s="209"/>
      <c r="P24" s="428"/>
      <c r="Q24" s="428"/>
      <c r="R24" s="133"/>
      <c r="S24" s="133"/>
      <c r="T24" s="133"/>
      <c r="U24" s="133"/>
      <c r="V24" s="133"/>
      <c r="W24" s="133"/>
      <c r="X24" s="133"/>
      <c r="Y24" s="133"/>
      <c r="Z24" s="133"/>
      <c r="AJ24" s="292"/>
      <c r="AK24" s="292"/>
      <c r="AL24" s="292"/>
      <c r="AM24" s="292"/>
      <c r="AN24" s="292"/>
    </row>
    <row r="25" spans="1:40" ht="14.45" customHeight="1" x14ac:dyDescent="0.25">
      <c r="A25" s="296"/>
      <c r="B25" s="461" t="str">
        <f>B197</f>
        <v>Protein electrophoresis</v>
      </c>
      <c r="C25" s="447"/>
      <c r="D25" s="438">
        <f t="shared" ref="D25:I25" si="19">D204</f>
        <v>25115.951505703426</v>
      </c>
      <c r="E25" s="438">
        <f t="shared" si="19"/>
        <v>26426.948257681055</v>
      </c>
      <c r="F25" s="438">
        <f t="shared" si="19"/>
        <v>26129.146509189508</v>
      </c>
      <c r="G25" s="438">
        <f t="shared" si="19"/>
        <v>25525.767368281948</v>
      </c>
      <c r="H25" s="438">
        <f t="shared" si="19"/>
        <v>24995.806045235055</v>
      </c>
      <c r="I25" s="438">
        <f t="shared" si="19"/>
        <v>24453.252163153742</v>
      </c>
      <c r="J25" s="133"/>
      <c r="K25" s="133"/>
      <c r="L25" s="209"/>
      <c r="M25" s="209"/>
      <c r="N25" s="209"/>
      <c r="O25" s="209"/>
      <c r="P25" s="428"/>
      <c r="Q25" s="428"/>
      <c r="R25" s="133"/>
      <c r="S25" s="133"/>
      <c r="T25" s="133"/>
      <c r="U25" s="133"/>
      <c r="V25" s="133"/>
      <c r="W25" s="133"/>
      <c r="X25" s="133"/>
      <c r="Y25" s="133"/>
      <c r="Z25" s="133"/>
    </row>
    <row r="26" spans="1:40" ht="14.45" customHeight="1" x14ac:dyDescent="0.25">
      <c r="A26" s="297"/>
      <c r="B26" s="462" t="str">
        <f>B208</f>
        <v>Adverse events, various (cases)</v>
      </c>
      <c r="C26" s="444"/>
      <c r="D26" s="439">
        <f t="shared" ref="D26:I26" si="20">D227</f>
        <v>1178.9774657115706</v>
      </c>
      <c r="E26" s="439">
        <f t="shared" si="20"/>
        <v>1307.4605130982677</v>
      </c>
      <c r="F26" s="439">
        <f t="shared" si="20"/>
        <v>1467.1256035757094</v>
      </c>
      <c r="G26" s="439">
        <f t="shared" si="20"/>
        <v>1617.9378830177109</v>
      </c>
      <c r="H26" s="439">
        <f t="shared" si="20"/>
        <v>1771.5219778563287</v>
      </c>
      <c r="I26" s="439">
        <f t="shared" si="20"/>
        <v>1788.6026516849379</v>
      </c>
      <c r="J26" s="133"/>
      <c r="K26" s="133"/>
      <c r="L26" s="299">
        <f t="shared" ref="L26:Q26" si="21">L227</f>
        <v>1333.427993180002</v>
      </c>
      <c r="M26" s="299">
        <f t="shared" si="21"/>
        <v>1526.6608856655062</v>
      </c>
      <c r="N26" s="299">
        <f t="shared" si="21"/>
        <v>1761.9614656688752</v>
      </c>
      <c r="O26" s="299">
        <f t="shared" si="21"/>
        <v>1984.3748994271045</v>
      </c>
      <c r="P26" s="299">
        <f t="shared" si="21"/>
        <v>2210.913468416069</v>
      </c>
      <c r="Q26" s="299">
        <f t="shared" si="21"/>
        <v>2232.2306703979434</v>
      </c>
      <c r="R26" s="133"/>
      <c r="S26" s="133"/>
      <c r="T26" s="133"/>
      <c r="U26" s="133"/>
      <c r="V26" s="133"/>
      <c r="W26" s="133"/>
      <c r="X26" s="133"/>
      <c r="Y26" s="133"/>
      <c r="Z26" s="133"/>
    </row>
    <row r="27" spans="1:40" ht="14.45" customHeight="1" x14ac:dyDescent="0.25">
      <c r="B27" s="250"/>
      <c r="D27" s="292"/>
      <c r="F27" s="133"/>
      <c r="G27" s="133"/>
      <c r="H27" s="133"/>
      <c r="I27" s="133"/>
      <c r="J27" s="133"/>
      <c r="K27" s="133"/>
      <c r="L27" s="300">
        <f t="shared" ref="L27:Q27" si="22">SUM(L10:L26)</f>
        <v>51616.663269308097</v>
      </c>
      <c r="M27" s="300">
        <f t="shared" si="22"/>
        <v>52183.665706408603</v>
      </c>
      <c r="N27" s="300">
        <f t="shared" si="22"/>
        <v>53619.730507385204</v>
      </c>
      <c r="O27" s="300">
        <f t="shared" si="22"/>
        <v>56291.893527463908</v>
      </c>
      <c r="P27" s="300">
        <f t="shared" si="22"/>
        <v>58915.142475274784</v>
      </c>
      <c r="Q27" s="300">
        <f t="shared" si="22"/>
        <v>60906.806341227944</v>
      </c>
      <c r="R27" s="133"/>
      <c r="S27" s="133"/>
      <c r="T27" s="133"/>
      <c r="U27" s="133"/>
      <c r="V27" s="133"/>
      <c r="W27" s="133"/>
      <c r="X27" s="133"/>
      <c r="Y27" s="133"/>
      <c r="Z27" s="133"/>
    </row>
    <row r="28" spans="1:40" ht="14.45" customHeight="1" x14ac:dyDescent="0.25">
      <c r="B28" s="250"/>
      <c r="D28" s="292"/>
      <c r="F28" s="133"/>
      <c r="G28" s="133"/>
      <c r="H28" s="133"/>
      <c r="I28" s="133"/>
      <c r="J28" s="133"/>
      <c r="K28" s="133"/>
      <c r="L28" s="710"/>
      <c r="M28" s="710"/>
      <c r="N28" s="710"/>
      <c r="O28" s="710"/>
      <c r="P28" s="710"/>
      <c r="Q28" s="183"/>
      <c r="R28" s="133"/>
      <c r="S28" s="133"/>
      <c r="T28" s="133"/>
      <c r="U28" s="133"/>
      <c r="V28" s="133"/>
      <c r="W28" s="133"/>
      <c r="X28" s="133"/>
      <c r="Y28" s="133"/>
      <c r="Z28" s="133"/>
    </row>
    <row r="29" spans="1:40" x14ac:dyDescent="0.25">
      <c r="B29" s="383" t="s">
        <v>751</v>
      </c>
      <c r="C29" s="384"/>
      <c r="D29" s="384"/>
      <c r="E29" s="385"/>
      <c r="F29" s="384"/>
      <c r="G29" s="386"/>
      <c r="H29" s="387"/>
      <c r="I29" s="387"/>
      <c r="J29" s="387"/>
      <c r="K29" s="387"/>
      <c r="L29" s="387"/>
      <c r="M29" s="387"/>
      <c r="N29" s="387"/>
      <c r="O29" s="387"/>
      <c r="P29" s="387"/>
      <c r="Q29" s="388"/>
      <c r="R29" s="133"/>
      <c r="S29" s="133"/>
      <c r="T29" s="133"/>
      <c r="U29" s="133"/>
      <c r="V29" s="133"/>
      <c r="W29" s="133"/>
      <c r="X29" s="133"/>
      <c r="Y29" s="133"/>
      <c r="Z29" s="133"/>
      <c r="AJ29" s="292"/>
      <c r="AK29" s="292"/>
      <c r="AL29" s="292"/>
      <c r="AM29" s="292"/>
      <c r="AN29" s="292"/>
    </row>
    <row r="30" spans="1:40" x14ac:dyDescent="0.25">
      <c r="A30" s="294"/>
      <c r="B30" s="739"/>
      <c r="C30" s="734"/>
      <c r="D30" s="735"/>
      <c r="E30" s="736"/>
      <c r="F30" s="294"/>
      <c r="G30" s="294"/>
      <c r="H30" s="221"/>
      <c r="I30" s="221"/>
      <c r="J30" s="221"/>
      <c r="K30" s="221"/>
      <c r="L30" s="221"/>
      <c r="M30" s="221"/>
      <c r="N30" s="221"/>
      <c r="O30" s="221"/>
      <c r="P30" s="221"/>
      <c r="Q30" s="221"/>
      <c r="R30" s="133"/>
      <c r="S30" s="133"/>
      <c r="T30" s="133"/>
      <c r="U30" s="133"/>
      <c r="V30" s="133"/>
      <c r="W30" s="133"/>
      <c r="X30" s="133"/>
      <c r="Y30" s="133"/>
      <c r="Z30" s="133"/>
      <c r="AJ30" s="292"/>
      <c r="AK30" s="292"/>
      <c r="AL30" s="292"/>
      <c r="AM30" s="292"/>
      <c r="AN30" s="292"/>
    </row>
    <row r="31" spans="1:40" x14ac:dyDescent="0.25">
      <c r="A31" s="294"/>
      <c r="B31" s="733" t="s">
        <v>1168</v>
      </c>
      <c r="C31" s="734"/>
      <c r="D31" s="735"/>
      <c r="E31" s="736"/>
      <c r="F31" s="294"/>
      <c r="G31" s="294"/>
      <c r="H31" s="221"/>
      <c r="I31" s="221"/>
      <c r="J31" s="221"/>
      <c r="K31" s="221"/>
      <c r="L31" s="221"/>
      <c r="M31" s="221"/>
      <c r="N31" s="221"/>
      <c r="O31" s="221"/>
      <c r="P31" s="221"/>
      <c r="Q31" s="221"/>
      <c r="R31" s="133"/>
      <c r="S31" s="133"/>
      <c r="V31" s="133"/>
    </row>
    <row r="32" spans="1:40" x14ac:dyDescent="0.25">
      <c r="A32" s="737"/>
      <c r="B32" s="738" t="s">
        <v>1310</v>
      </c>
      <c r="C32" s="406"/>
      <c r="D32" s="406"/>
      <c r="E32" s="406"/>
      <c r="F32" s="406"/>
      <c r="G32" s="406"/>
      <c r="H32" s="406"/>
      <c r="I32" s="220"/>
      <c r="J32" s="221"/>
      <c r="K32" s="221"/>
      <c r="L32" s="221"/>
      <c r="M32" s="221"/>
      <c r="N32" s="221"/>
      <c r="O32" s="221"/>
      <c r="P32" s="221"/>
      <c r="Q32" s="221"/>
      <c r="R32" s="133"/>
      <c r="S32" s="133"/>
      <c r="T32" s="133"/>
      <c r="U32" s="133"/>
      <c r="V32" s="133"/>
      <c r="W32" s="133"/>
      <c r="X32" s="133"/>
      <c r="Y32" s="133"/>
      <c r="Z32" s="133"/>
      <c r="AJ32" s="292"/>
      <c r="AK32" s="292"/>
      <c r="AL32" s="292"/>
      <c r="AM32" s="292"/>
      <c r="AN32" s="292"/>
    </row>
    <row r="33" spans="1:40" ht="45" x14ac:dyDescent="0.25">
      <c r="A33" s="737"/>
      <c r="B33" s="326" t="s">
        <v>131</v>
      </c>
      <c r="C33" s="166" t="s">
        <v>752</v>
      </c>
      <c r="D33" s="434" t="s">
        <v>743</v>
      </c>
      <c r="E33" s="261" t="s">
        <v>51</v>
      </c>
      <c r="F33" s="261" t="s">
        <v>52</v>
      </c>
      <c r="G33" s="165" t="s">
        <v>744</v>
      </c>
      <c r="H33" s="165" t="s">
        <v>745</v>
      </c>
      <c r="I33" s="261" t="s">
        <v>746</v>
      </c>
      <c r="J33" s="742"/>
      <c r="K33" s="746" t="s">
        <v>1252</v>
      </c>
      <c r="L33" s="434" t="s">
        <v>743</v>
      </c>
      <c r="M33" s="261" t="s">
        <v>51</v>
      </c>
      <c r="N33" s="261" t="s">
        <v>52</v>
      </c>
      <c r="O33" s="165" t="s">
        <v>744</v>
      </c>
      <c r="P33" s="165" t="s">
        <v>745</v>
      </c>
      <c r="Q33" s="261" t="s">
        <v>746</v>
      </c>
      <c r="R33" s="133"/>
      <c r="S33" s="133"/>
      <c r="T33" s="133"/>
      <c r="U33" s="133"/>
      <c r="V33" s="133"/>
      <c r="W33" s="133"/>
      <c r="X33" s="133"/>
      <c r="Y33" s="133"/>
      <c r="Z33" s="133"/>
      <c r="AJ33" s="292"/>
      <c r="AK33" s="292"/>
      <c r="AL33" s="292"/>
      <c r="AM33" s="292"/>
      <c r="AN33" s="292"/>
    </row>
    <row r="34" spans="1:40" x14ac:dyDescent="0.25">
      <c r="A34" s="737"/>
      <c r="B34" s="358" t="s">
        <v>1247</v>
      </c>
      <c r="C34" s="704">
        <f>'Inputs and eligible population'!F98</f>
        <v>1</v>
      </c>
      <c r="D34" s="128">
        <f>'Financial impact (cash)'!D14*$C$34</f>
        <v>0</v>
      </c>
      <c r="E34" s="128">
        <f>'Financial impact (cash)'!E14*$C$34</f>
        <v>119.13978040025866</v>
      </c>
      <c r="F34" s="128">
        <f>'Financial impact (cash)'!F14*$C$34</f>
        <v>262.13270622611719</v>
      </c>
      <c r="G34" s="128">
        <f>'Financial impact (cash)'!G14*$C$34</f>
        <v>396.99020896432211</v>
      </c>
      <c r="H34" s="128">
        <f>'Financial impact (cash)'!H14*$C$34</f>
        <v>534.42388283229468</v>
      </c>
      <c r="I34" s="128">
        <f>'Financial impact (cash)'!I14*$C$34</f>
        <v>539.57669501468888</v>
      </c>
      <c r="J34" s="742"/>
      <c r="K34" s="749">
        <f>'Unit costs'!$N$122</f>
        <v>309</v>
      </c>
      <c r="L34" s="299">
        <f>(D34*'Unit costs'!$N$122)/1000</f>
        <v>0</v>
      </c>
      <c r="M34" s="299">
        <f>(E34*'Unit costs'!$N$122)/1000</f>
        <v>36.814192143679925</v>
      </c>
      <c r="N34" s="299">
        <f>(F34*'Unit costs'!$N$122)/1000</f>
        <v>80.999006223870211</v>
      </c>
      <c r="O34" s="299">
        <f>(G34*'Unit costs'!$N$122)/1000</f>
        <v>122.66997456997552</v>
      </c>
      <c r="P34" s="299">
        <f>(H34*'Unit costs'!$N$122)/1000</f>
        <v>165.13697979517906</v>
      </c>
      <c r="Q34" s="299">
        <f>(I34*'Unit costs'!$N$122)/1000</f>
        <v>166.72919875953889</v>
      </c>
      <c r="R34" s="133"/>
      <c r="S34" s="133"/>
      <c r="T34" s="133"/>
      <c r="U34" s="133"/>
      <c r="V34" s="133"/>
      <c r="W34" s="133"/>
      <c r="X34" s="133"/>
      <c r="Y34" s="133"/>
      <c r="Z34" s="133"/>
      <c r="AJ34" s="292"/>
      <c r="AK34" s="292"/>
      <c r="AL34" s="292"/>
      <c r="AM34" s="292"/>
      <c r="AN34" s="292"/>
    </row>
    <row r="35" spans="1:40" x14ac:dyDescent="0.25">
      <c r="A35" s="737"/>
      <c r="B35" s="703" t="s">
        <v>1249</v>
      </c>
      <c r="C35" s="704">
        <f>'Inputs and eligible population'!G98</f>
        <v>1</v>
      </c>
      <c r="D35" s="128">
        <f>'Financial impact (cash)'!D15*$C$35</f>
        <v>85.716672826902325</v>
      </c>
      <c r="E35" s="128">
        <f>'Financial impact (cash)'!E15*$C$35</f>
        <v>119.13978040025866</v>
      </c>
      <c r="F35" s="128">
        <f>'Financial impact (cash)'!F15*$C$35</f>
        <v>262.13270622611719</v>
      </c>
      <c r="G35" s="128">
        <f>'Financial impact (cash)'!G15*$C$35</f>
        <v>396.99020896432211</v>
      </c>
      <c r="H35" s="128">
        <f>'Financial impact (cash)'!H15*$C$35</f>
        <v>534.42388283229468</v>
      </c>
      <c r="I35" s="128">
        <f>'Financial impact (cash)'!I15*$C$35</f>
        <v>539.57669501468888</v>
      </c>
      <c r="J35" s="742"/>
      <c r="K35" s="749">
        <f>'Unit costs'!$N$122</f>
        <v>309</v>
      </c>
      <c r="L35" s="299">
        <f>(D35*'Unit costs'!$N$122)/1000</f>
        <v>26.486451903512819</v>
      </c>
      <c r="M35" s="299">
        <f>(E35*'Unit costs'!$N$122)/1000</f>
        <v>36.814192143679925</v>
      </c>
      <c r="N35" s="299">
        <f>(F35*'Unit costs'!$N$122)/1000</f>
        <v>80.999006223870211</v>
      </c>
      <c r="O35" s="299">
        <f>(G35*'Unit costs'!$N$122)/1000</f>
        <v>122.66997456997552</v>
      </c>
      <c r="P35" s="299">
        <f>(H35*'Unit costs'!$N$122)/1000</f>
        <v>165.13697979517906</v>
      </c>
      <c r="Q35" s="299">
        <f>(I35*'Unit costs'!$N$122)/1000</f>
        <v>166.72919875953889</v>
      </c>
      <c r="R35" s="133"/>
      <c r="S35" s="133"/>
      <c r="T35" s="133"/>
      <c r="U35" s="133"/>
      <c r="V35" s="133"/>
      <c r="W35" s="133"/>
      <c r="X35" s="133"/>
      <c r="Y35" s="133"/>
      <c r="Z35" s="133"/>
      <c r="AJ35" s="292"/>
      <c r="AK35" s="292"/>
      <c r="AL35" s="292"/>
      <c r="AM35" s="292"/>
      <c r="AN35" s="292"/>
    </row>
    <row r="36" spans="1:40" x14ac:dyDescent="0.25">
      <c r="A36" s="737"/>
      <c r="B36" s="358" t="s">
        <v>1248</v>
      </c>
      <c r="C36" s="704">
        <f>'Inputs and eligible population'!H98</f>
        <v>1</v>
      </c>
      <c r="D36" s="128">
        <f>'Financial impact (cash)'!D16*$C$36</f>
        <v>417.86878003114884</v>
      </c>
      <c r="E36" s="128">
        <f>'Financial impact (cash)'!E16*$C$36</f>
        <v>389.44411417236557</v>
      </c>
      <c r="F36" s="128">
        <f>'Financial impact (cash)'!F16*$C$36</f>
        <v>349.5102749681563</v>
      </c>
      <c r="G36" s="128">
        <f>'Financial impact (cash)'!G16*$C$36</f>
        <v>308.77016252780612</v>
      </c>
      <c r="H36" s="128">
        <f>'Financial impact (cash)'!H16*$C$36</f>
        <v>267.21194141614734</v>
      </c>
      <c r="I36" s="128">
        <f>'Financial impact (cash)'!I16*$C$36</f>
        <v>269.78834750734444</v>
      </c>
      <c r="J36" s="742"/>
      <c r="K36" s="749">
        <f>'Unit costs'!$N$122</f>
        <v>309</v>
      </c>
      <c r="L36" s="299">
        <f>(D36*'Unit costs'!$N$122)/1000</f>
        <v>129.12145302962497</v>
      </c>
      <c r="M36" s="299">
        <f>(E36*'Unit costs'!$N$122)/1000</f>
        <v>120.33823127926095</v>
      </c>
      <c r="N36" s="299">
        <f>(F36*'Unit costs'!$N$122)/1000</f>
        <v>107.9986749651603</v>
      </c>
      <c r="O36" s="299">
        <f>(G36*'Unit costs'!$N$122)/1000</f>
        <v>95.409980221092084</v>
      </c>
      <c r="P36" s="299">
        <f>(H36*'Unit costs'!$N$122)/1000</f>
        <v>82.568489897589529</v>
      </c>
      <c r="Q36" s="299">
        <f>(I36*'Unit costs'!$N$122)/1000</f>
        <v>83.364599379769444</v>
      </c>
      <c r="R36" s="133"/>
      <c r="S36" s="133"/>
      <c r="T36" s="133"/>
      <c r="U36" s="133"/>
      <c r="V36" s="133"/>
      <c r="W36" s="133"/>
      <c r="X36" s="133"/>
      <c r="Y36" s="133"/>
      <c r="Z36" s="133"/>
      <c r="AJ36" s="292"/>
      <c r="AK36" s="292"/>
      <c r="AL36" s="292"/>
      <c r="AM36" s="292"/>
      <c r="AN36" s="292"/>
    </row>
    <row r="37" spans="1:40" x14ac:dyDescent="0.25">
      <c r="A37" s="737"/>
      <c r="B37" s="703" t="s">
        <v>1259</v>
      </c>
      <c r="C37" s="704">
        <f>'Inputs and eligible population'!I98</f>
        <v>1</v>
      </c>
      <c r="D37" s="128">
        <f>'Financial impact (cash)'!D17*$C$37</f>
        <v>407.15419592778602</v>
      </c>
      <c r="E37" s="128">
        <f>'Financial impact (cash)'!E17*$C$37</f>
        <v>389.44411417236557</v>
      </c>
      <c r="F37" s="128">
        <f>'Financial impact (cash)'!F17*$C$37</f>
        <v>349.5102749681563</v>
      </c>
      <c r="G37" s="128">
        <f>'Financial impact (cash)'!G17*$C$37</f>
        <v>308.77016252780612</v>
      </c>
      <c r="H37" s="128">
        <f>'Financial impact (cash)'!H17*$C$37</f>
        <v>267.21194141614734</v>
      </c>
      <c r="I37" s="128">
        <f>'Financial impact (cash)'!I17*$C$37</f>
        <v>269.78834750734444</v>
      </c>
      <c r="J37" s="742"/>
      <c r="K37" s="749">
        <f>'Unit costs'!$N$122</f>
        <v>309</v>
      </c>
      <c r="L37" s="299">
        <f>(D37*'Unit costs'!$N$122)/1000</f>
        <v>125.81064654168588</v>
      </c>
      <c r="M37" s="299">
        <f>(E37*'Unit costs'!$N$122)/1000</f>
        <v>120.33823127926095</v>
      </c>
      <c r="N37" s="299">
        <f>(F37*'Unit costs'!$N$122)/1000</f>
        <v>107.9986749651603</v>
      </c>
      <c r="O37" s="299">
        <f>(G37*'Unit costs'!$N$122)/1000</f>
        <v>95.409980221092084</v>
      </c>
      <c r="P37" s="299">
        <f>(H37*'Unit costs'!$N$122)/1000</f>
        <v>82.568489897589529</v>
      </c>
      <c r="Q37" s="299">
        <f>(I37*'Unit costs'!$N$122)/1000</f>
        <v>83.364599379769444</v>
      </c>
      <c r="R37" s="133"/>
      <c r="S37" s="133"/>
      <c r="T37" s="133"/>
      <c r="U37" s="133"/>
      <c r="V37" s="133"/>
      <c r="W37" s="133"/>
      <c r="X37" s="133"/>
      <c r="Y37" s="133"/>
      <c r="Z37" s="133"/>
      <c r="AJ37" s="292"/>
      <c r="AK37" s="292"/>
      <c r="AL37" s="292"/>
      <c r="AM37" s="292"/>
      <c r="AN37" s="292"/>
    </row>
    <row r="38" spans="1:40" x14ac:dyDescent="0.25">
      <c r="A38" s="737"/>
      <c r="B38" s="703" t="s">
        <v>1250</v>
      </c>
      <c r="C38" s="704">
        <f>'Inputs and eligible population'!J98</f>
        <v>1</v>
      </c>
      <c r="D38" s="128">
        <f>'Financial impact (cash)'!D18*$C$38</f>
        <v>1232.1771718867208</v>
      </c>
      <c r="E38" s="128">
        <f>'Financial impact (cash)'!E18*$C$38</f>
        <v>1146.6965583964097</v>
      </c>
      <c r="F38" s="128">
        <f>'Financial impact (cash)'!F18*$C$38</f>
        <v>961.15325616242978</v>
      </c>
      <c r="G38" s="128">
        <f>'Financial impact (cash)'!G18*$C$38</f>
        <v>793.98041792864421</v>
      </c>
      <c r="H38" s="128">
        <f>'Financial impact (cash)'!H18*$C$38</f>
        <v>623.49452997101048</v>
      </c>
      <c r="I38" s="128">
        <f>'Financial impact (cash)'!I18*$C$38</f>
        <v>629.50614418380371</v>
      </c>
      <c r="J38" s="742"/>
      <c r="K38" s="749">
        <f>'Unit costs'!$N$122</f>
        <v>309</v>
      </c>
      <c r="L38" s="299">
        <f>(D38*'Unit costs'!$N$122)/1000</f>
        <v>380.74274611299671</v>
      </c>
      <c r="M38" s="299">
        <f>(E38*'Unit costs'!$N$122)/1000</f>
        <v>354.32923654449064</v>
      </c>
      <c r="N38" s="299">
        <f>(F38*'Unit costs'!$N$122)/1000</f>
        <v>296.99635615419078</v>
      </c>
      <c r="O38" s="299">
        <f>(G38*'Unit costs'!$N$122)/1000</f>
        <v>245.33994913995105</v>
      </c>
      <c r="P38" s="299">
        <f>(H38*'Unit costs'!$N$122)/1000</f>
        <v>192.65980976104225</v>
      </c>
      <c r="Q38" s="299">
        <f>(I38*'Unit costs'!$N$122)/1000</f>
        <v>194.51739855279536</v>
      </c>
      <c r="R38" s="133"/>
      <c r="S38" s="133"/>
      <c r="T38" s="133"/>
      <c r="U38" s="133"/>
      <c r="V38" s="133"/>
      <c r="W38" s="133"/>
      <c r="X38" s="133"/>
      <c r="Y38" s="133"/>
      <c r="Z38" s="133"/>
      <c r="AJ38" s="292"/>
      <c r="AK38" s="292"/>
      <c r="AL38" s="292"/>
      <c r="AM38" s="292"/>
      <c r="AN38" s="292"/>
    </row>
    <row r="39" spans="1:40" x14ac:dyDescent="0.25">
      <c r="A39" s="737"/>
      <c r="B39" s="574"/>
      <c r="C39" s="289"/>
      <c r="D39" s="187">
        <f t="shared" ref="D39:I39" si="23">SUM(D34:D38)</f>
        <v>2142.9168206725581</v>
      </c>
      <c r="E39" s="187">
        <f t="shared" si="23"/>
        <v>2163.8643475416584</v>
      </c>
      <c r="F39" s="187">
        <f t="shared" si="23"/>
        <v>2184.4392185509769</v>
      </c>
      <c r="G39" s="187">
        <f t="shared" si="23"/>
        <v>2205.5011609129006</v>
      </c>
      <c r="H39" s="187">
        <f t="shared" si="23"/>
        <v>2226.7661784678944</v>
      </c>
      <c r="I39" s="187">
        <f t="shared" si="23"/>
        <v>2248.2362292278704</v>
      </c>
      <c r="J39" s="742"/>
      <c r="K39" s="221"/>
      <c r="L39" s="300">
        <f t="shared" ref="L39:Q39" si="24">SUM(L34:L38)</f>
        <v>662.1612975878204</v>
      </c>
      <c r="M39" s="300">
        <f t="shared" si="24"/>
        <v>668.63408339037244</v>
      </c>
      <c r="N39" s="300">
        <f t="shared" si="24"/>
        <v>674.99171853225175</v>
      </c>
      <c r="O39" s="300">
        <f t="shared" si="24"/>
        <v>681.49985872208629</v>
      </c>
      <c r="P39" s="300">
        <f t="shared" si="24"/>
        <v>688.07074914657937</v>
      </c>
      <c r="Q39" s="300">
        <f t="shared" si="24"/>
        <v>694.70499483141202</v>
      </c>
      <c r="R39" s="133"/>
      <c r="S39" s="133"/>
      <c r="T39" s="133"/>
      <c r="U39" s="133"/>
      <c r="V39" s="133"/>
      <c r="W39" s="133"/>
      <c r="X39" s="133"/>
      <c r="Y39" s="133"/>
      <c r="Z39" s="133"/>
      <c r="AJ39" s="292"/>
      <c r="AK39" s="292"/>
      <c r="AL39" s="292"/>
      <c r="AM39" s="292"/>
      <c r="AN39" s="292"/>
    </row>
    <row r="40" spans="1:40" x14ac:dyDescent="0.25">
      <c r="A40" s="737"/>
      <c r="B40" s="262"/>
      <c r="C40" s="262"/>
      <c r="D40" s="291" t="s">
        <v>1193</v>
      </c>
      <c r="E40" s="187">
        <f>E39-$D$39</f>
        <v>20.947526869100329</v>
      </c>
      <c r="F40" s="187">
        <f>F39-$D$39</f>
        <v>41.522397878418815</v>
      </c>
      <c r="G40" s="187">
        <f>G39-$D$39</f>
        <v>62.584340240342499</v>
      </c>
      <c r="H40" s="187">
        <f>H39-$D$39</f>
        <v>83.849357795336346</v>
      </c>
      <c r="I40" s="187">
        <f>I39-$D$39</f>
        <v>105.31940855531229</v>
      </c>
      <c r="J40" s="742"/>
      <c r="K40" s="221"/>
      <c r="L40" s="221"/>
      <c r="M40" s="300">
        <f>M39-$L$39</f>
        <v>6.4727858025520391</v>
      </c>
      <c r="N40" s="300">
        <f>N39-$L$39</f>
        <v>12.830420944431353</v>
      </c>
      <c r="O40" s="300">
        <f>O39-$L$39</f>
        <v>19.338561134265888</v>
      </c>
      <c r="P40" s="300">
        <f>P39-$L$39</f>
        <v>25.909451558758974</v>
      </c>
      <c r="Q40" s="300">
        <f>Q39-$L$39</f>
        <v>32.543697243591623</v>
      </c>
      <c r="R40" s="133"/>
      <c r="S40" s="133"/>
      <c r="T40" s="133"/>
      <c r="U40" s="133"/>
      <c r="V40" s="133"/>
      <c r="W40" s="133"/>
      <c r="X40" s="133"/>
      <c r="Y40" s="133"/>
      <c r="Z40" s="133"/>
      <c r="AJ40" s="292"/>
      <c r="AK40" s="292"/>
      <c r="AL40" s="292"/>
      <c r="AM40" s="292"/>
      <c r="AN40" s="292"/>
    </row>
    <row r="41" spans="1:40" x14ac:dyDescent="0.25">
      <c r="A41" s="294"/>
      <c r="B41" s="739"/>
      <c r="C41" s="734"/>
      <c r="D41" s="735"/>
      <c r="E41" s="736"/>
      <c r="F41" s="294"/>
      <c r="G41" s="294"/>
      <c r="H41" s="294"/>
      <c r="I41" s="313"/>
      <c r="J41" s="221"/>
      <c r="K41" s="221"/>
      <c r="L41" s="221"/>
      <c r="M41" s="221"/>
      <c r="N41" s="221"/>
      <c r="O41" s="221"/>
      <c r="P41" s="221"/>
      <c r="Q41" s="221"/>
      <c r="R41" s="133"/>
      <c r="S41" s="133"/>
      <c r="T41" s="133"/>
      <c r="U41" s="133"/>
      <c r="V41" s="133"/>
      <c r="W41" s="133"/>
      <c r="X41" s="133"/>
      <c r="Y41" s="133"/>
      <c r="Z41" s="133"/>
      <c r="AJ41" s="292"/>
      <c r="AK41" s="292"/>
      <c r="AL41" s="292"/>
      <c r="AM41" s="292"/>
      <c r="AN41" s="292"/>
    </row>
    <row r="42" spans="1:40" x14ac:dyDescent="0.25">
      <c r="A42" s="294"/>
      <c r="B42" s="405" t="s">
        <v>1311</v>
      </c>
      <c r="C42" s="406"/>
      <c r="D42" s="406"/>
      <c r="E42" s="406"/>
      <c r="F42" s="406"/>
      <c r="G42" s="406"/>
      <c r="H42" s="406"/>
      <c r="I42" s="220"/>
      <c r="J42" s="221"/>
      <c r="K42" s="221"/>
      <c r="L42" s="221"/>
      <c r="M42" s="221"/>
      <c r="N42" s="221"/>
      <c r="O42" s="221"/>
      <c r="P42" s="221"/>
      <c r="Q42" s="221"/>
      <c r="R42" s="133"/>
      <c r="S42" s="133"/>
      <c r="T42" s="133"/>
      <c r="U42" s="133"/>
      <c r="V42" s="133"/>
      <c r="W42" s="133"/>
      <c r="X42" s="133"/>
      <c r="Y42" s="133"/>
      <c r="Z42" s="133"/>
      <c r="AJ42" s="292"/>
      <c r="AK42" s="292"/>
      <c r="AL42" s="292"/>
      <c r="AM42" s="292"/>
      <c r="AN42" s="292"/>
    </row>
    <row r="43" spans="1:40" ht="45" x14ac:dyDescent="0.25">
      <c r="A43" s="294"/>
      <c r="B43" s="285" t="s">
        <v>131</v>
      </c>
      <c r="C43" s="166" t="s">
        <v>752</v>
      </c>
      <c r="D43" s="434" t="s">
        <v>743</v>
      </c>
      <c r="E43" s="261" t="s">
        <v>51</v>
      </c>
      <c r="F43" s="261" t="s">
        <v>52</v>
      </c>
      <c r="G43" s="165" t="s">
        <v>744</v>
      </c>
      <c r="H43" s="165" t="s">
        <v>745</v>
      </c>
      <c r="I43" s="261" t="s">
        <v>746</v>
      </c>
      <c r="J43" s="221"/>
      <c r="K43" s="746" t="s">
        <v>1252</v>
      </c>
      <c r="L43" s="434" t="s">
        <v>743</v>
      </c>
      <c r="M43" s="261" t="s">
        <v>51</v>
      </c>
      <c r="N43" s="261" t="s">
        <v>52</v>
      </c>
      <c r="O43" s="165" t="s">
        <v>744</v>
      </c>
      <c r="P43" s="165" t="s">
        <v>745</v>
      </c>
      <c r="Q43" s="261" t="s">
        <v>746</v>
      </c>
      <c r="R43" s="133"/>
      <c r="S43" s="133"/>
      <c r="T43" s="133"/>
      <c r="U43" s="133"/>
      <c r="V43" s="133"/>
      <c r="W43" s="133"/>
      <c r="X43" s="133"/>
      <c r="Y43" s="133"/>
      <c r="Z43" s="133"/>
      <c r="AJ43" s="292"/>
      <c r="AK43" s="292"/>
      <c r="AL43" s="292"/>
      <c r="AM43" s="292"/>
      <c r="AN43" s="292"/>
    </row>
    <row r="44" spans="1:40" x14ac:dyDescent="0.25">
      <c r="A44" s="294"/>
      <c r="B44" s="358" t="s">
        <v>1247</v>
      </c>
      <c r="C44" s="704">
        <f>'Inputs and eligible population'!F100</f>
        <v>10.96</v>
      </c>
      <c r="D44" s="128">
        <f>'Financial impact (cash)'!D14*$C$44</f>
        <v>0</v>
      </c>
      <c r="E44" s="128">
        <f>'Financial impact (cash)'!E14*$C$44</f>
        <v>1305.7719931868351</v>
      </c>
      <c r="F44" s="128">
        <f>'Financial impact (cash)'!F14*$C$44+('Financial impact (cash)'!E14*('Unit costs'!$O$14/'Unit costs'!$O$9)*$C$44)</f>
        <v>3065.0839288249108</v>
      </c>
      <c r="G44" s="128">
        <f>'Financial impact (cash)'!G14*$C$44+('Financial impact (cash)'!F14*('Unit costs'!$O$14/'Unit costs'!$O$9)*$C$44)</f>
        <v>4773.6941382347068</v>
      </c>
      <c r="H44" s="128">
        <f>'Financial impact (cash)'!H14*$C$44+('Financial impact (cash)'!G14*('Unit costs'!$O$14/'Unit costs'!$O$9)*$C$44)</f>
        <v>6497.4210475306336</v>
      </c>
      <c r="I44" s="128">
        <f>'Financial impact (cash)'!I14*$C$44+('Financial impact (cash)'!H14*('Unit costs'!$O$14/'Unit costs'!$O$9)*$C$44)</f>
        <v>6775.5037145903398</v>
      </c>
      <c r="J44" s="221"/>
      <c r="K44" s="749">
        <f>'Unit costs'!$N$126</f>
        <v>140</v>
      </c>
      <c r="L44" s="299">
        <f>(D44*'Unit costs'!$N$126)/1000</f>
        <v>0</v>
      </c>
      <c r="M44" s="299">
        <f>(E44*'Unit costs'!$N$126)/1000</f>
        <v>182.80807904615691</v>
      </c>
      <c r="N44" s="299">
        <f>(F44*'Unit costs'!$N$126)/1000</f>
        <v>429.11175003548755</v>
      </c>
      <c r="O44" s="299">
        <f>(G44*'Unit costs'!$N$126)/1000</f>
        <v>668.31717935285894</v>
      </c>
      <c r="P44" s="299">
        <f>(H44*'Unit costs'!$N$126)/1000</f>
        <v>909.6389466542887</v>
      </c>
      <c r="Q44" s="299">
        <f>(I44*'Unit costs'!$N$126)/1000</f>
        <v>948.57052004264756</v>
      </c>
      <c r="R44" s="133"/>
      <c r="S44" s="133"/>
      <c r="T44" s="133"/>
      <c r="U44" s="133"/>
      <c r="V44" s="133"/>
      <c r="W44" s="133"/>
      <c r="X44" s="133"/>
      <c r="Y44" s="133"/>
      <c r="Z44" s="133"/>
      <c r="AJ44" s="292"/>
      <c r="AK44" s="292"/>
      <c r="AL44" s="292"/>
      <c r="AM44" s="292"/>
      <c r="AN44" s="292"/>
    </row>
    <row r="45" spans="1:40" x14ac:dyDescent="0.25">
      <c r="A45" s="294"/>
      <c r="B45" s="358" t="s">
        <v>1249</v>
      </c>
      <c r="C45" s="704">
        <f>'Inputs and eligible population'!G100</f>
        <v>10.96</v>
      </c>
      <c r="D45" s="128">
        <f>'Financial impact (cash)'!D15*$C$45+'Financial impact (cash)'!D15*'Unit costs'!$O$43/'Unit costs'!$O$39*$C$45</f>
        <v>1452.0253666243714</v>
      </c>
      <c r="E45" s="128">
        <f>'Financial impact (cash)'!E15*$C$45+'Financial impact (cash)'!D15*'Unit costs'!$O$43/'Unit costs'!$O$39*$C$45</f>
        <v>1818.3426256283569</v>
      </c>
      <c r="F45" s="128">
        <f>'Financial impact (cash)'!F15*$C$45+'Financial impact (cash)'!E15*'Unit costs'!$O$43/'Unit costs'!$O$39*$C$45</f>
        <v>3585.4093993780948</v>
      </c>
      <c r="G45" s="128">
        <f>'Financial impact (cash)'!G15*$C$45+'Financial impact (cash)'!F15*'Unit costs'!$O$43/'Unit costs'!$O$39*$C$45</f>
        <v>5918.5201842141232</v>
      </c>
      <c r="H45" s="128">
        <f>'Financial impact (cash)'!H15*$C$45+'Financial impact (cash)'!G15*'Unit costs'!$O$43/'Unit costs'!$O$39*$C$45</f>
        <v>8231.2174049722944</v>
      </c>
      <c r="I45" s="128">
        <f>'Financial impact (cash)'!I15*$C$45+'Financial impact (cash)'!H15*'Unit costs'!$O$43/'Unit costs'!$O$39*$C$45</f>
        <v>9109.5214320593732</v>
      </c>
      <c r="J45" s="221"/>
      <c r="K45" s="749">
        <f>'Unit costs'!$N$126</f>
        <v>140</v>
      </c>
      <c r="L45" s="299">
        <f>(D45*'Unit costs'!$N$126)/1000</f>
        <v>203.283551327412</v>
      </c>
      <c r="M45" s="299">
        <f>(E45*'Unit costs'!$N$126)/1000</f>
        <v>254.56796758796997</v>
      </c>
      <c r="N45" s="299">
        <f>(F45*'Unit costs'!$N$126)/1000</f>
        <v>501.95731591293327</v>
      </c>
      <c r="O45" s="299">
        <f>(G45*'Unit costs'!$N$126)/1000</f>
        <v>828.59282578997727</v>
      </c>
      <c r="P45" s="299">
        <f>(H45*'Unit costs'!$N$126)/1000</f>
        <v>1152.3704366961213</v>
      </c>
      <c r="Q45" s="299">
        <f>(I45*'Unit costs'!$N$126)/1000</f>
        <v>1275.3330004883121</v>
      </c>
      <c r="R45" s="133"/>
      <c r="S45" s="133"/>
      <c r="T45" s="133"/>
      <c r="U45" s="133"/>
      <c r="V45" s="133"/>
      <c r="W45" s="133"/>
      <c r="X45" s="133"/>
      <c r="Y45" s="133"/>
      <c r="Z45" s="133"/>
      <c r="AJ45" s="292"/>
      <c r="AK45" s="292"/>
      <c r="AL45" s="292"/>
      <c r="AM45" s="292"/>
      <c r="AN45" s="292"/>
    </row>
    <row r="46" spans="1:40" x14ac:dyDescent="0.25">
      <c r="A46" s="294"/>
      <c r="B46" s="358" t="s">
        <v>1248</v>
      </c>
      <c r="C46" s="704">
        <f>'Inputs and eligible population'!H100</f>
        <v>10.96</v>
      </c>
      <c r="D46" s="128">
        <f>'Financial impact (cash)'!D16*$C$46</f>
        <v>4579.8418291413918</v>
      </c>
      <c r="E46" s="128">
        <f>'Financial impact (cash)'!E16*$C$46</f>
        <v>4268.3074913291266</v>
      </c>
      <c r="F46" s="128">
        <f>'Financial impact (cash)'!F16*$C$46</f>
        <v>3830.6326136509933</v>
      </c>
      <c r="G46" s="128">
        <f>'Financial impact (cash)'!G16*$C$46</f>
        <v>3384.1209813047553</v>
      </c>
      <c r="H46" s="128">
        <f>'Financial impact (cash)'!H16*$C$46</f>
        <v>2928.642877920975</v>
      </c>
      <c r="I46" s="128">
        <f>'Financial impact (cash)'!I16*$C$46</f>
        <v>2956.8802886804951</v>
      </c>
      <c r="J46" s="221"/>
      <c r="K46" s="749">
        <f>'Unit costs'!$N$126</f>
        <v>140</v>
      </c>
      <c r="L46" s="299">
        <f>(D46*'Unit costs'!$N$126)/1000</f>
        <v>641.17785607979476</v>
      </c>
      <c r="M46" s="299">
        <f>(E46*'Unit costs'!$N$126)/1000</f>
        <v>597.56304878607773</v>
      </c>
      <c r="N46" s="299">
        <f>(F46*'Unit costs'!$N$126)/1000</f>
        <v>536.28856591113902</v>
      </c>
      <c r="O46" s="299">
        <f>(G46*'Unit costs'!$N$126)/1000</f>
        <v>473.77693738266578</v>
      </c>
      <c r="P46" s="299">
        <f>(H46*'Unit costs'!$N$126)/1000</f>
        <v>410.01000290893654</v>
      </c>
      <c r="Q46" s="299">
        <f>(I46*'Unit costs'!$N$126)/1000</f>
        <v>413.96324041526935</v>
      </c>
      <c r="R46" s="133"/>
      <c r="S46" s="133"/>
      <c r="T46" s="133"/>
      <c r="U46" s="133"/>
      <c r="V46" s="133"/>
      <c r="W46" s="133"/>
      <c r="X46" s="133"/>
      <c r="Y46" s="133"/>
      <c r="Z46" s="133"/>
      <c r="AJ46" s="292"/>
      <c r="AK46" s="292"/>
      <c r="AL46" s="292"/>
      <c r="AM46" s="292"/>
      <c r="AN46" s="292"/>
    </row>
    <row r="47" spans="1:40" x14ac:dyDescent="0.25">
      <c r="A47" s="294"/>
      <c r="B47" s="358" t="s">
        <v>1259</v>
      </c>
      <c r="C47" s="704">
        <f>'Inputs and eligible population'!I100</f>
        <v>10.96</v>
      </c>
      <c r="D47" s="128">
        <f>'Financial impact (cash)'!D17*$C$47+'Financial impact (cash)'!D17*('Unit costs'!$O$33/'Unit costs'!$O$28)*$C$47</f>
        <v>7543.3067457709212</v>
      </c>
      <c r="E47" s="128">
        <f>'Financial impact (cash)'!E17*$C$47+'Financial impact (cash)'!D17*('Unit costs'!$O$33/'Unit costs'!$O$28)*$C$47</f>
        <v>7349.2042497315124</v>
      </c>
      <c r="F47" s="128">
        <f>'Financial impact (cash)'!F17*$C$47+'Financial impact (cash)'!E17*('Unit costs'!$O$33/'Unit costs'!$O$28)*$C$47</f>
        <v>6777.5188816371301</v>
      </c>
      <c r="G47" s="128">
        <f>'Financial impact (cash)'!G17*$C$47+'Financial impact (cash)'!F17*('Unit costs'!$O$33/'Unit costs'!$O$28)*$C$47</f>
        <v>6028.8317173048927</v>
      </c>
      <c r="H47" s="128">
        <f>'Financial impact (cash)'!H17*$C$47+'Financial impact (cash)'!G17*('Unit costs'!$O$33/'Unit costs'!$O$28)*$C$47</f>
        <v>5265.0770896711074</v>
      </c>
      <c r="I47" s="128">
        <f>'Financial impact (cash)'!I17*$C$47+'Financial impact (cash)'!H17*('Unit costs'!$O$33/'Unit costs'!$O$28)*$C$47</f>
        <v>4978.8474263136068</v>
      </c>
      <c r="J47" s="221"/>
      <c r="K47" s="749">
        <f>'Unit costs'!$N$126</f>
        <v>140</v>
      </c>
      <c r="L47" s="299">
        <f>(D47*'Unit costs'!$N$126)/1000</f>
        <v>1056.0629444079291</v>
      </c>
      <c r="M47" s="299">
        <f>(E47*'Unit costs'!$N$126)/1000</f>
        <v>1028.8885949624118</v>
      </c>
      <c r="N47" s="299">
        <f>(F47*'Unit costs'!$N$126)/1000</f>
        <v>948.85264342919822</v>
      </c>
      <c r="O47" s="299">
        <f>(G47*'Unit costs'!$N$126)/1000</f>
        <v>844.03644042268502</v>
      </c>
      <c r="P47" s="299">
        <f>(H47*'Unit costs'!$N$126)/1000</f>
        <v>737.11079255395498</v>
      </c>
      <c r="Q47" s="299">
        <f>(I47*'Unit costs'!$N$126)/1000</f>
        <v>697.03863968390499</v>
      </c>
      <c r="R47" s="133"/>
      <c r="S47" s="133"/>
      <c r="T47" s="133"/>
      <c r="U47" s="133"/>
      <c r="V47" s="133"/>
      <c r="W47" s="133"/>
      <c r="X47" s="133"/>
      <c r="Y47" s="133"/>
      <c r="Z47" s="133"/>
      <c r="AJ47" s="292"/>
      <c r="AK47" s="292"/>
      <c r="AL47" s="292"/>
      <c r="AM47" s="292"/>
      <c r="AN47" s="292"/>
    </row>
    <row r="48" spans="1:40" x14ac:dyDescent="0.25">
      <c r="A48" s="294"/>
      <c r="B48" s="358" t="s">
        <v>1250</v>
      </c>
      <c r="C48" s="704">
        <f>'Inputs and eligible population'!J100</f>
        <v>10.96</v>
      </c>
      <c r="D48" s="128">
        <f>'Financial impact (cash)'!D18*$C$48+'Financial impact (cash)'!D18*$C$48</f>
        <v>27009.32360775692</v>
      </c>
      <c r="E48" s="128">
        <f>'Financial impact (cash)'!E18*$C$48+'Financial impact (cash)'!E18*$C$48</f>
        <v>25135.588560049302</v>
      </c>
      <c r="F48" s="128">
        <f>'Financial impact (cash)'!F18*$C$48+'Financial impact (cash)'!F18*$C$48</f>
        <v>21068.479375080464</v>
      </c>
      <c r="G48" s="128">
        <f>'Financial impact (cash)'!G18*$C$48+'Financial impact (cash)'!G18*$C$48</f>
        <v>17404.050760995884</v>
      </c>
      <c r="H48" s="128">
        <f>'Financial impact (cash)'!H18*$C$48+'Financial impact (cash)'!H18*$C$48</f>
        <v>13667.000096964552</v>
      </c>
      <c r="I48" s="128">
        <f>'Financial impact (cash)'!I18*$C$48+'Financial impact (cash)'!I18*$C$48</f>
        <v>13798.774680508979</v>
      </c>
      <c r="J48" s="221"/>
      <c r="K48" s="749">
        <f>'Unit costs'!$N$126</f>
        <v>140</v>
      </c>
      <c r="L48" s="299">
        <f>(D48*'Unit costs'!$N$126)/1000</f>
        <v>3781.3053050859685</v>
      </c>
      <c r="M48" s="299">
        <f>(E48*'Unit costs'!$N$126)/1000</f>
        <v>3518.9823984069021</v>
      </c>
      <c r="N48" s="299">
        <f>(F48*'Unit costs'!$N$126)/1000</f>
        <v>2949.5871125112649</v>
      </c>
      <c r="O48" s="299">
        <f>(G48*'Unit costs'!$N$126)/1000</f>
        <v>2436.5671065394235</v>
      </c>
      <c r="P48" s="299">
        <f>(H48*'Unit costs'!$N$126)/1000</f>
        <v>1913.3800135750373</v>
      </c>
      <c r="Q48" s="299">
        <f>(I48*'Unit costs'!$N$126)/1000</f>
        <v>1931.8284552712571</v>
      </c>
      <c r="R48" s="133"/>
      <c r="S48" s="133"/>
      <c r="T48" s="133"/>
      <c r="U48" s="133"/>
      <c r="V48" s="133"/>
      <c r="W48" s="133"/>
      <c r="X48" s="133"/>
      <c r="Y48" s="133"/>
      <c r="Z48" s="133"/>
      <c r="AJ48" s="292"/>
      <c r="AK48" s="292"/>
      <c r="AL48" s="292"/>
      <c r="AM48" s="292"/>
      <c r="AN48" s="292"/>
    </row>
    <row r="49" spans="1:40" x14ac:dyDescent="0.25">
      <c r="A49" s="737"/>
      <c r="B49" s="286"/>
      <c r="C49" s="289"/>
      <c r="D49" s="187">
        <f t="shared" ref="D49:I49" si="25">SUM(D44:D48)</f>
        <v>40584.497549293606</v>
      </c>
      <c r="E49" s="187">
        <f t="shared" si="25"/>
        <v>39877.214919925129</v>
      </c>
      <c r="F49" s="187">
        <f t="shared" si="25"/>
        <v>38327.12419857159</v>
      </c>
      <c r="G49" s="187">
        <f t="shared" si="25"/>
        <v>37509.217782054358</v>
      </c>
      <c r="H49" s="187">
        <f t="shared" si="25"/>
        <v>36589.358517059562</v>
      </c>
      <c r="I49" s="187">
        <f t="shared" si="25"/>
        <v>37619.527542152791</v>
      </c>
      <c r="J49" s="742"/>
      <c r="K49" s="221"/>
      <c r="L49" s="300">
        <f t="shared" ref="L49:Q49" si="26">SUM(L44:L48)</f>
        <v>5681.8296569011045</v>
      </c>
      <c r="M49" s="300">
        <f t="shared" si="26"/>
        <v>5582.810088789518</v>
      </c>
      <c r="N49" s="300">
        <f t="shared" si="26"/>
        <v>5365.797387800023</v>
      </c>
      <c r="O49" s="300">
        <f t="shared" si="26"/>
        <v>5251.290489487611</v>
      </c>
      <c r="P49" s="300">
        <f t="shared" si="26"/>
        <v>5122.5101923883385</v>
      </c>
      <c r="Q49" s="300">
        <f t="shared" si="26"/>
        <v>5266.7338559013915</v>
      </c>
      <c r="R49" s="133"/>
      <c r="S49" s="133"/>
      <c r="T49" s="133"/>
      <c r="U49" s="133"/>
      <c r="V49" s="133"/>
      <c r="W49" s="133"/>
      <c r="X49" s="133"/>
      <c r="Y49" s="133"/>
      <c r="Z49" s="133"/>
      <c r="AJ49" s="292"/>
      <c r="AK49" s="292"/>
      <c r="AL49" s="292"/>
      <c r="AM49" s="292"/>
      <c r="AN49" s="292"/>
    </row>
    <row r="50" spans="1:40" x14ac:dyDescent="0.25">
      <c r="A50" s="737"/>
      <c r="B50" s="312"/>
      <c r="C50" s="262"/>
      <c r="D50" s="291" t="s">
        <v>1193</v>
      </c>
      <c r="E50" s="187">
        <f>E49-$D$49</f>
        <v>-707.2826293684775</v>
      </c>
      <c r="F50" s="187">
        <f>F49-$D$49</f>
        <v>-2257.3733507220168</v>
      </c>
      <c r="G50" s="187">
        <f>G49-$D$49</f>
        <v>-3075.279767239248</v>
      </c>
      <c r="H50" s="187">
        <f>H49-$D$49</f>
        <v>-3995.1390322340449</v>
      </c>
      <c r="I50" s="187">
        <f>I49-$D$49</f>
        <v>-2964.9700071408151</v>
      </c>
      <c r="J50" s="742"/>
      <c r="K50" s="221"/>
      <c r="L50" s="221"/>
      <c r="M50" s="300">
        <f>M49-$L$49</f>
        <v>-99.019568111586523</v>
      </c>
      <c r="N50" s="300">
        <f>N49-$L$49</f>
        <v>-316.03226910108151</v>
      </c>
      <c r="O50" s="300">
        <f>O49-$L$49</f>
        <v>-430.53916741349349</v>
      </c>
      <c r="P50" s="300">
        <f>P49-$L$49</f>
        <v>-559.31946451276599</v>
      </c>
      <c r="Q50" s="300">
        <f>Q49-$L$49</f>
        <v>-415.09580099971299</v>
      </c>
      <c r="R50" s="133"/>
      <c r="S50" s="133"/>
      <c r="T50" s="133"/>
      <c r="U50" s="133"/>
      <c r="V50" s="133"/>
      <c r="W50" s="133"/>
      <c r="X50" s="133"/>
      <c r="Y50" s="133"/>
      <c r="Z50" s="133"/>
      <c r="AJ50" s="292"/>
      <c r="AK50" s="292"/>
      <c r="AL50" s="292"/>
      <c r="AM50" s="292"/>
      <c r="AN50" s="292"/>
    </row>
    <row r="51" spans="1:40" x14ac:dyDescent="0.25">
      <c r="A51" s="294"/>
      <c r="B51" s="294"/>
      <c r="C51" s="294"/>
      <c r="D51" s="740"/>
      <c r="E51" s="741"/>
      <c r="F51" s="741"/>
      <c r="G51" s="741"/>
      <c r="H51" s="741"/>
      <c r="I51" s="741"/>
      <c r="J51" s="221"/>
      <c r="K51" s="221"/>
      <c r="L51" s="221"/>
      <c r="M51" s="221"/>
      <c r="N51" s="221"/>
      <c r="O51" s="221"/>
      <c r="P51" s="221"/>
      <c r="Q51" s="221"/>
      <c r="R51" s="133"/>
      <c r="S51" s="133"/>
      <c r="T51" s="133"/>
      <c r="U51" s="133"/>
      <c r="V51" s="133"/>
      <c r="W51" s="133"/>
      <c r="X51" s="133"/>
      <c r="Y51" s="133"/>
      <c r="Z51" s="133"/>
      <c r="AJ51" s="292"/>
      <c r="AK51" s="292"/>
      <c r="AL51" s="292"/>
      <c r="AM51" s="292"/>
      <c r="AN51" s="292"/>
    </row>
    <row r="52" spans="1:40" x14ac:dyDescent="0.25">
      <c r="A52" s="307"/>
      <c r="B52" s="398" t="s">
        <v>130</v>
      </c>
      <c r="C52" s="399"/>
      <c r="D52" s="399"/>
      <c r="E52" s="399"/>
      <c r="F52" s="399"/>
      <c r="G52" s="399"/>
      <c r="H52" s="399"/>
      <c r="I52" s="399"/>
      <c r="J52" s="440"/>
      <c r="K52" s="217"/>
      <c r="L52" s="217"/>
      <c r="M52" s="217"/>
      <c r="N52" s="217"/>
      <c r="O52" s="217"/>
      <c r="P52" s="217"/>
      <c r="Q52" s="217"/>
      <c r="R52" s="133"/>
      <c r="S52" s="133"/>
      <c r="T52" s="133"/>
      <c r="U52" s="133"/>
      <c r="V52" s="133"/>
      <c r="W52" s="133"/>
      <c r="X52" s="133"/>
      <c r="Y52" s="133"/>
      <c r="Z52" s="133"/>
      <c r="AJ52" s="292"/>
      <c r="AK52" s="292"/>
      <c r="AL52" s="292"/>
      <c r="AM52" s="292"/>
      <c r="AN52" s="292"/>
    </row>
    <row r="53" spans="1:40" ht="45" x14ac:dyDescent="0.25">
      <c r="A53" s="307"/>
      <c r="B53" s="326" t="s">
        <v>131</v>
      </c>
      <c r="C53" s="166" t="s">
        <v>134</v>
      </c>
      <c r="D53" s="434" t="s">
        <v>743</v>
      </c>
      <c r="E53" s="261" t="s">
        <v>51</v>
      </c>
      <c r="F53" s="261" t="s">
        <v>52</v>
      </c>
      <c r="G53" s="165" t="s">
        <v>744</v>
      </c>
      <c r="H53" s="165" t="s">
        <v>745</v>
      </c>
      <c r="I53" s="261" t="s">
        <v>746</v>
      </c>
      <c r="J53" s="440"/>
      <c r="K53" s="746" t="s">
        <v>1252</v>
      </c>
      <c r="L53" s="434" t="s">
        <v>743</v>
      </c>
      <c r="M53" s="588" t="s">
        <v>51</v>
      </c>
      <c r="N53" s="588" t="s">
        <v>52</v>
      </c>
      <c r="O53" s="435" t="s">
        <v>744</v>
      </c>
      <c r="P53" s="435" t="s">
        <v>745</v>
      </c>
      <c r="Q53" s="588" t="s">
        <v>746</v>
      </c>
      <c r="R53" s="133"/>
      <c r="S53" s="133"/>
      <c r="T53" s="133"/>
      <c r="U53" s="133"/>
      <c r="V53" s="133"/>
      <c r="W53" s="133"/>
      <c r="X53" s="133"/>
      <c r="Y53" s="133"/>
      <c r="Z53" s="133"/>
      <c r="AJ53" s="292"/>
      <c r="AK53" s="292"/>
      <c r="AL53" s="292"/>
      <c r="AM53" s="292"/>
      <c r="AN53" s="292"/>
    </row>
    <row r="54" spans="1:40" x14ac:dyDescent="0.25">
      <c r="A54" s="307"/>
      <c r="B54" s="705" t="s">
        <v>1084</v>
      </c>
      <c r="C54" s="299">
        <f>'Unit costs'!O101</f>
        <v>138</v>
      </c>
      <c r="D54" s="128">
        <f>D70+D73</f>
        <v>9111.6057887561219</v>
      </c>
      <c r="E54" s="128">
        <f t="shared" ref="E54:I54" si="27">E70+E73</f>
        <v>8741.069965954126</v>
      </c>
      <c r="F54" s="128">
        <f t="shared" si="27"/>
        <v>8061.113111957613</v>
      </c>
      <c r="G54" s="128">
        <f t="shared" si="27"/>
        <v>7170.6320933794505</v>
      </c>
      <c r="H54" s="128">
        <f t="shared" si="27"/>
        <v>6262.229984782176</v>
      </c>
      <c r="I54" s="128">
        <f t="shared" si="27"/>
        <v>5921.7912884660664</v>
      </c>
      <c r="J54" s="440"/>
      <c r="K54" s="747">
        <f>'Unit costs'!$O$101</f>
        <v>138</v>
      </c>
      <c r="L54" s="299">
        <f t="shared" ref="L54:Q54" si="28">(D54*$C$54)/1000</f>
        <v>1257.4015988483447</v>
      </c>
      <c r="M54" s="299">
        <f t="shared" si="28"/>
        <v>1206.2676553016695</v>
      </c>
      <c r="N54" s="299">
        <f t="shared" si="28"/>
        <v>1112.4336094501505</v>
      </c>
      <c r="O54" s="299">
        <f t="shared" si="28"/>
        <v>989.54722888636411</v>
      </c>
      <c r="P54" s="299">
        <f t="shared" si="28"/>
        <v>864.1877378999402</v>
      </c>
      <c r="Q54" s="299">
        <f t="shared" si="28"/>
        <v>817.20719780831712</v>
      </c>
      <c r="R54" s="133"/>
      <c r="S54" s="133"/>
      <c r="T54" s="133"/>
      <c r="U54" s="133"/>
      <c r="V54" s="133"/>
      <c r="W54" s="133"/>
      <c r="X54" s="133"/>
      <c r="Y54" s="133"/>
      <c r="Z54" s="133"/>
      <c r="AJ54" s="292"/>
      <c r="AK54" s="292"/>
      <c r="AL54" s="292"/>
      <c r="AM54" s="292"/>
      <c r="AN54" s="292"/>
    </row>
    <row r="55" spans="1:40" x14ac:dyDescent="0.25">
      <c r="A55" s="307"/>
      <c r="B55" s="705" t="s">
        <v>1078</v>
      </c>
      <c r="C55" s="299">
        <f>'Unit costs'!O98</f>
        <v>345</v>
      </c>
      <c r="D55" s="128">
        <f t="shared" ref="D55:I55" si="29">D62+D64+D71+D66+D68+D75</f>
        <v>10711.828924593354</v>
      </c>
      <c r="E55" s="128">
        <f t="shared" si="29"/>
        <v>11902.114129643998</v>
      </c>
      <c r="F55" s="128">
        <f t="shared" si="29"/>
        <v>14596.324080138298</v>
      </c>
      <c r="G55" s="128">
        <f t="shared" si="29"/>
        <v>17958.323137953703</v>
      </c>
      <c r="H55" s="128">
        <f t="shared" si="29"/>
        <v>21289.91818601605</v>
      </c>
      <c r="I55" s="128">
        <f t="shared" si="29"/>
        <v>22647.829273954208</v>
      </c>
      <c r="J55" s="440"/>
      <c r="K55" s="747">
        <f>'Unit costs'!$O$98</f>
        <v>345</v>
      </c>
      <c r="L55" s="299">
        <f t="shared" ref="L55:Q55" si="30">(D55*$C$55)/1000</f>
        <v>3695.5809789847071</v>
      </c>
      <c r="M55" s="299">
        <f t="shared" si="30"/>
        <v>4106.2293747271797</v>
      </c>
      <c r="N55" s="299">
        <f t="shared" si="30"/>
        <v>5035.7318076477122</v>
      </c>
      <c r="O55" s="299">
        <f t="shared" si="30"/>
        <v>6195.6214825940269</v>
      </c>
      <c r="P55" s="299">
        <f t="shared" si="30"/>
        <v>7345.0217741755368</v>
      </c>
      <c r="Q55" s="299">
        <f t="shared" si="30"/>
        <v>7813.501099514202</v>
      </c>
      <c r="R55" s="133"/>
      <c r="S55" s="133"/>
      <c r="T55" s="133"/>
      <c r="U55" s="133"/>
      <c r="V55" s="133"/>
      <c r="W55" s="133"/>
      <c r="X55" s="133"/>
      <c r="Y55" s="133"/>
      <c r="Z55" s="133"/>
      <c r="AJ55" s="292"/>
      <c r="AK55" s="292"/>
      <c r="AL55" s="292"/>
      <c r="AM55" s="292"/>
      <c r="AN55" s="292"/>
    </row>
    <row r="56" spans="1:40" x14ac:dyDescent="0.25">
      <c r="A56" s="307"/>
      <c r="B56" s="705" t="s">
        <v>1081</v>
      </c>
      <c r="C56" s="299">
        <f>'Unit costs'!O99</f>
        <v>345</v>
      </c>
      <c r="D56" s="128">
        <f t="shared" ref="D56:I56" si="31">D63+D65+D72+D74+D67+D69+D76+D77</f>
        <v>113003.65722842352</v>
      </c>
      <c r="E56" s="128">
        <f t="shared" si="31"/>
        <v>113313.22787980972</v>
      </c>
      <c r="F56" s="128">
        <f t="shared" si="31"/>
        <v>114982.0710674962</v>
      </c>
      <c r="G56" s="128">
        <f t="shared" si="31"/>
        <v>119390.02773433831</v>
      </c>
      <c r="H56" s="128">
        <f t="shared" si="31"/>
        <v>123723.01029927049</v>
      </c>
      <c r="I56" s="128">
        <f t="shared" si="31"/>
        <v>127775.15513847733</v>
      </c>
      <c r="J56" s="440"/>
      <c r="K56" s="747">
        <f>'Unit costs'!$O$99</f>
        <v>345</v>
      </c>
      <c r="L56" s="299">
        <f t="shared" ref="L56:Q56" si="32">(D56*$C$56)/1000</f>
        <v>38986.261743806113</v>
      </c>
      <c r="M56" s="299">
        <f t="shared" si="32"/>
        <v>39093.063618534354</v>
      </c>
      <c r="N56" s="299">
        <f t="shared" si="32"/>
        <v>39668.814518286192</v>
      </c>
      <c r="O56" s="299">
        <f t="shared" si="32"/>
        <v>41189.559568346718</v>
      </c>
      <c r="P56" s="299">
        <f t="shared" si="32"/>
        <v>42684.438553248321</v>
      </c>
      <c r="Q56" s="299">
        <f t="shared" si="32"/>
        <v>44082.42852277468</v>
      </c>
      <c r="R56" s="133"/>
      <c r="S56" s="133"/>
      <c r="T56" s="133"/>
      <c r="U56" s="133"/>
      <c r="V56" s="133"/>
      <c r="W56" s="133"/>
      <c r="X56" s="133"/>
      <c r="Y56" s="133"/>
      <c r="Z56" s="133"/>
      <c r="AJ56" s="292"/>
      <c r="AK56" s="292"/>
      <c r="AL56" s="292"/>
      <c r="AM56" s="292"/>
      <c r="AN56" s="292"/>
    </row>
    <row r="57" spans="1:40" x14ac:dyDescent="0.25">
      <c r="A57" s="307"/>
      <c r="B57" s="329"/>
      <c r="C57" s="329"/>
      <c r="D57" s="187">
        <f>SUM(D54:D56)</f>
        <v>132827.09194177299</v>
      </c>
      <c r="E57" s="187">
        <f t="shared" ref="E57:I57" si="33">SUM(E54:E56)</f>
        <v>133956.41197540786</v>
      </c>
      <c r="F57" s="187">
        <f t="shared" si="33"/>
        <v>137639.50825959211</v>
      </c>
      <c r="G57" s="187">
        <f t="shared" si="33"/>
        <v>144518.98296567146</v>
      </c>
      <c r="H57" s="187">
        <f t="shared" si="33"/>
        <v>151275.15847006871</v>
      </c>
      <c r="I57" s="187">
        <f t="shared" si="33"/>
        <v>156344.77570089762</v>
      </c>
      <c r="J57" s="440"/>
      <c r="K57" s="217"/>
      <c r="L57" s="300">
        <f>SUM(L54:L56)</f>
        <v>43939.244321639169</v>
      </c>
      <c r="M57" s="300">
        <f t="shared" ref="M57:Q57" si="34">SUM(M54:M56)</f>
        <v>44405.560648563202</v>
      </c>
      <c r="N57" s="300">
        <f t="shared" si="34"/>
        <v>45816.979935384057</v>
      </c>
      <c r="O57" s="300">
        <f t="shared" si="34"/>
        <v>48374.728279827112</v>
      </c>
      <c r="P57" s="300">
        <f t="shared" si="34"/>
        <v>50893.648065323796</v>
      </c>
      <c r="Q57" s="300">
        <f t="shared" si="34"/>
        <v>52713.136820097199</v>
      </c>
      <c r="R57" s="133"/>
      <c r="S57" s="133"/>
      <c r="T57" s="133"/>
      <c r="U57" s="133"/>
      <c r="V57" s="133"/>
      <c r="W57" s="133"/>
      <c r="X57" s="133"/>
      <c r="Y57" s="133"/>
      <c r="Z57" s="133"/>
      <c r="AJ57" s="292"/>
      <c r="AK57" s="292"/>
      <c r="AL57" s="292"/>
      <c r="AM57" s="292"/>
      <c r="AN57" s="292"/>
    </row>
    <row r="58" spans="1:40" x14ac:dyDescent="0.25">
      <c r="A58" s="307"/>
      <c r="B58" s="262"/>
      <c r="C58" s="262"/>
      <c r="D58" s="291" t="s">
        <v>753</v>
      </c>
      <c r="E58" s="187">
        <f>E57-D57</f>
        <v>1129.3200336348673</v>
      </c>
      <c r="F58" s="187">
        <f>F57-$D$57</f>
        <v>4812.4163178191229</v>
      </c>
      <c r="G58" s="187">
        <f>G57-$D$57</f>
        <v>11691.891023898468</v>
      </c>
      <c r="H58" s="187">
        <f>H57-$D$57</f>
        <v>18448.06652829572</v>
      </c>
      <c r="I58" s="187">
        <f>I57-$D$57</f>
        <v>23517.683759124629</v>
      </c>
      <c r="J58" s="440"/>
      <c r="K58" s="217"/>
      <c r="L58" s="594"/>
      <c r="M58" s="300">
        <f>M57-$L$57</f>
        <v>466.31632692403218</v>
      </c>
      <c r="N58" s="300">
        <f>N57-$L$57</f>
        <v>1877.7356137448878</v>
      </c>
      <c r="O58" s="300">
        <f>O57-$L$57</f>
        <v>4435.4839581879423</v>
      </c>
      <c r="P58" s="300">
        <f>P57-$L$57</f>
        <v>6954.4037436846265</v>
      </c>
      <c r="Q58" s="300">
        <f>Q57-$L$57</f>
        <v>8773.8924984580299</v>
      </c>
      <c r="R58" s="133"/>
      <c r="S58" s="133"/>
      <c r="T58" s="133"/>
      <c r="U58" s="133"/>
      <c r="V58" s="133"/>
      <c r="W58" s="133"/>
      <c r="X58" s="133"/>
      <c r="Y58" s="133"/>
      <c r="Z58" s="133"/>
      <c r="AJ58" s="292"/>
      <c r="AK58" s="292"/>
      <c r="AL58" s="292"/>
      <c r="AM58" s="292"/>
      <c r="AN58" s="292"/>
    </row>
    <row r="59" spans="1:40" x14ac:dyDescent="0.25">
      <c r="A59" s="302"/>
      <c r="B59" s="328"/>
      <c r="C59" s="305"/>
      <c r="D59" s="304"/>
      <c r="E59" s="305"/>
      <c r="F59" s="306"/>
      <c r="G59" s="302"/>
      <c r="H59" s="302"/>
      <c r="I59" s="303"/>
      <c r="J59" s="217"/>
      <c r="K59" s="217"/>
      <c r="L59" s="217"/>
      <c r="M59" s="217"/>
      <c r="N59" s="217"/>
      <c r="O59" s="217"/>
      <c r="P59" s="217"/>
      <c r="Q59" s="217"/>
      <c r="R59" s="133"/>
      <c r="S59" s="133"/>
      <c r="T59" s="133"/>
      <c r="U59" s="133"/>
      <c r="V59" s="133"/>
      <c r="W59" s="133"/>
      <c r="X59" s="133"/>
      <c r="Y59" s="133"/>
      <c r="Z59" s="133"/>
      <c r="AJ59" s="292"/>
      <c r="AK59" s="292"/>
      <c r="AL59" s="292"/>
      <c r="AM59" s="292"/>
      <c r="AN59" s="292"/>
    </row>
    <row r="60" spans="1:40" x14ac:dyDescent="0.25">
      <c r="A60" s="307"/>
      <c r="B60" s="398" t="s">
        <v>754</v>
      </c>
      <c r="C60" s="399"/>
      <c r="D60" s="399"/>
      <c r="E60" s="399"/>
      <c r="F60" s="399"/>
      <c r="G60" s="399"/>
      <c r="H60" s="399"/>
      <c r="I60" s="399"/>
      <c r="J60" s="440"/>
      <c r="K60" s="217"/>
      <c r="L60" s="217"/>
      <c r="M60" s="217"/>
      <c r="N60" s="217"/>
      <c r="O60" s="217"/>
      <c r="P60" s="217"/>
      <c r="Q60" s="217"/>
      <c r="R60" s="133"/>
      <c r="S60" s="133"/>
      <c r="T60" s="133"/>
      <c r="U60" s="133"/>
      <c r="V60" s="133"/>
      <c r="W60" s="133"/>
      <c r="X60" s="133"/>
      <c r="Y60" s="133"/>
      <c r="Z60" s="133"/>
      <c r="AJ60" s="292"/>
      <c r="AK60" s="292"/>
      <c r="AL60" s="292"/>
      <c r="AM60" s="292"/>
      <c r="AN60" s="292"/>
    </row>
    <row r="61" spans="1:40" ht="45" x14ac:dyDescent="0.25">
      <c r="A61" s="307"/>
      <c r="B61" s="326" t="s">
        <v>131</v>
      </c>
      <c r="C61" s="166" t="s">
        <v>755</v>
      </c>
      <c r="D61" s="434" t="s">
        <v>743</v>
      </c>
      <c r="E61" s="261" t="s">
        <v>51</v>
      </c>
      <c r="F61" s="261" t="s">
        <v>52</v>
      </c>
      <c r="G61" s="165" t="s">
        <v>744</v>
      </c>
      <c r="H61" s="165" t="s">
        <v>745</v>
      </c>
      <c r="I61" s="261" t="s">
        <v>746</v>
      </c>
      <c r="J61" s="440"/>
      <c r="K61" s="217"/>
      <c r="L61" s="217"/>
      <c r="M61" s="217"/>
      <c r="N61" s="217"/>
      <c r="O61" s="217"/>
      <c r="P61" s="217"/>
      <c r="Q61" s="217"/>
      <c r="R61" s="133"/>
      <c r="V61" s="133"/>
      <c r="AJ61" s="292"/>
      <c r="AK61" s="292"/>
      <c r="AL61" s="292"/>
      <c r="AM61" s="292"/>
      <c r="AN61" s="292"/>
    </row>
    <row r="62" spans="1:40" x14ac:dyDescent="0.25">
      <c r="A62" s="307"/>
      <c r="B62" s="358" t="s">
        <v>1169</v>
      </c>
      <c r="C62" s="128">
        <f>'Unit costs'!O10</f>
        <v>10.428571428571429</v>
      </c>
      <c r="D62" s="128">
        <f>D$7*'Inputs and eligible population'!E70*$C$62</f>
        <v>0</v>
      </c>
      <c r="E62" s="128">
        <f>E$7*'Inputs and eligible population'!F70*$C$62</f>
        <v>1242.4577098884117</v>
      </c>
      <c r="F62" s="128">
        <f>F$7*'Inputs and eligible population'!G70*$C$62</f>
        <v>2733.6696506437938</v>
      </c>
      <c r="G62" s="128">
        <f>G$7*'Inputs and eligible population'!H70*$C$62</f>
        <v>4140.0407506279307</v>
      </c>
      <c r="H62" s="128">
        <f>H$7*'Inputs and eligible population'!I70*$C$62</f>
        <v>5573.2776352510737</v>
      </c>
      <c r="I62" s="128">
        <f>I$7*'Inputs and eligible population'!J70*$C$62</f>
        <v>5627.0141051531846</v>
      </c>
      <c r="J62" s="440"/>
      <c r="K62" s="217"/>
      <c r="L62" s="217"/>
      <c r="M62" s="217"/>
      <c r="N62" s="217"/>
      <c r="O62" s="217"/>
      <c r="P62" s="217"/>
      <c r="Q62" s="217"/>
      <c r="R62" s="133"/>
      <c r="V62" s="133"/>
      <c r="AJ62" s="292"/>
      <c r="AK62" s="292"/>
      <c r="AL62" s="292"/>
      <c r="AM62" s="292"/>
      <c r="AN62" s="292"/>
    </row>
    <row r="63" spans="1:40" x14ac:dyDescent="0.25">
      <c r="A63" s="307"/>
      <c r="B63" s="357" t="s">
        <v>1170</v>
      </c>
      <c r="C63" s="128">
        <f>'Unit costs'!O10*'Unit costs'!N10-C62</f>
        <v>31.285714285714285</v>
      </c>
      <c r="D63" s="128">
        <f>D$7*'Inputs and eligible population'!E70*$C$63</f>
        <v>0</v>
      </c>
      <c r="E63" s="128">
        <f>E$7*'Inputs and eligible population'!F70*$C$63</f>
        <v>3727.373129665235</v>
      </c>
      <c r="F63" s="128">
        <f>F$7*'Inputs and eligible population'!G70*$C$63</f>
        <v>8201.0089519313806</v>
      </c>
      <c r="G63" s="128">
        <f>G$7*'Inputs and eligible population'!H70*$C$63</f>
        <v>12420.122251883791</v>
      </c>
      <c r="H63" s="128">
        <f>H$7*'Inputs and eligible population'!I70*$C$63</f>
        <v>16719.832905753217</v>
      </c>
      <c r="I63" s="128">
        <f>I$7*'Inputs and eligible population'!J70*$C$63</f>
        <v>16881.042315459552</v>
      </c>
      <c r="J63" s="440"/>
      <c r="K63" s="217"/>
      <c r="L63" s="217"/>
      <c r="M63" s="217"/>
      <c r="N63" s="217"/>
      <c r="O63" s="217"/>
      <c r="P63" s="217"/>
      <c r="Q63" s="217"/>
      <c r="R63" s="133"/>
      <c r="V63" s="133"/>
      <c r="AJ63" s="292"/>
      <c r="AK63" s="292"/>
      <c r="AL63" s="292"/>
      <c r="AM63" s="292"/>
      <c r="AN63" s="292"/>
    </row>
    <row r="64" spans="1:40" x14ac:dyDescent="0.25">
      <c r="A64" s="307"/>
      <c r="B64" s="357" t="s">
        <v>1171</v>
      </c>
      <c r="C64" s="128">
        <f>'Unit costs'!O15</f>
        <v>1.5342857142857136</v>
      </c>
      <c r="D64" s="128">
        <v>0</v>
      </c>
      <c r="E64" s="128">
        <v>0</v>
      </c>
      <c r="F64" s="128">
        <f>E$7*'Inputs and eligible population'!$F$70*$C$64</f>
        <v>182.79446307125392</v>
      </c>
      <c r="G64" s="128">
        <f>F$7*'Inputs and eligible population'!$G$70*$C$64</f>
        <v>402.18646640978534</v>
      </c>
      <c r="H64" s="128">
        <f>G$7*'Inputs and eligible population'!$H$70*$C$64</f>
        <v>609.09640632525964</v>
      </c>
      <c r="I64" s="128">
        <f>H$7*'Inputs and eligible population'!$I$70*$C$64</f>
        <v>819.95892880269173</v>
      </c>
      <c r="J64" s="440"/>
      <c r="K64" s="217"/>
      <c r="L64" s="217"/>
      <c r="M64" s="217"/>
      <c r="N64" s="217"/>
      <c r="O64" s="217"/>
      <c r="P64" s="217"/>
      <c r="Q64" s="217"/>
      <c r="R64" s="133"/>
      <c r="V64" s="133"/>
      <c r="AJ64" s="292"/>
      <c r="AK64" s="292"/>
      <c r="AL64" s="292"/>
      <c r="AM64" s="292"/>
      <c r="AN64" s="292"/>
    </row>
    <row r="65" spans="1:40" x14ac:dyDescent="0.25">
      <c r="A65" s="307"/>
      <c r="B65" s="357" t="s">
        <v>1172</v>
      </c>
      <c r="C65" s="128">
        <f>'Unit costs'!O15*'Unit costs'!N15-C64</f>
        <v>4.6028571428571405</v>
      </c>
      <c r="D65" s="128">
        <v>0</v>
      </c>
      <c r="E65" s="128">
        <v>0</v>
      </c>
      <c r="F65" s="128">
        <f>E$7*'Inputs and eligible population'!$F$70*$C$65</f>
        <v>548.38338921376169</v>
      </c>
      <c r="G65" s="128">
        <f>F$7*'Inputs and eligible population'!$G$70*$C$65</f>
        <v>1206.5593992293559</v>
      </c>
      <c r="H65" s="128">
        <f>G$7*'Inputs and eligible population'!$H$70*$C$65</f>
        <v>1827.2892189757788</v>
      </c>
      <c r="I65" s="128">
        <f>H$7*'Inputs and eligible population'!$I$70*$C$65</f>
        <v>2459.8767864080751</v>
      </c>
      <c r="J65" s="440"/>
      <c r="K65" s="217"/>
      <c r="L65" s="217"/>
      <c r="M65" s="217"/>
      <c r="N65" s="217"/>
      <c r="O65" s="217"/>
      <c r="P65" s="217"/>
      <c r="Q65" s="217"/>
      <c r="R65" s="133"/>
      <c r="V65" s="133"/>
      <c r="AJ65" s="292"/>
      <c r="AK65" s="292"/>
      <c r="AL65" s="292"/>
      <c r="AM65" s="292"/>
      <c r="AN65" s="292"/>
    </row>
    <row r="66" spans="1:40" x14ac:dyDescent="0.25">
      <c r="A66" s="307"/>
      <c r="B66" s="357" t="s">
        <v>1174</v>
      </c>
      <c r="C66" s="128">
        <f>'Unit costs'!O36+'Unit costs'!O37+'Unit costs'!O38</f>
        <v>13</v>
      </c>
      <c r="D66" s="128">
        <f>D$7*'Inputs and eligible population'!E71*$C$66</f>
        <v>1114.3167467497303</v>
      </c>
      <c r="E66" s="128">
        <f>E$7*'Inputs and eligible population'!F71*$C$66</f>
        <v>1548.8171452033625</v>
      </c>
      <c r="F66" s="128">
        <f>F$7*'Inputs and eligible population'!G71*$C$66</f>
        <v>3407.7251809395234</v>
      </c>
      <c r="G66" s="128">
        <f>G$7*'Inputs and eligible population'!H71*$C$66</f>
        <v>5160.872716536187</v>
      </c>
      <c r="H66" s="128">
        <f>H$7*'Inputs and eligible population'!I71*$C$66</f>
        <v>6947.5104768198307</v>
      </c>
      <c r="I66" s="128">
        <f>I$7*'Inputs and eligible population'!J71*$C$66</f>
        <v>7014.4970351909551</v>
      </c>
      <c r="J66" s="217"/>
      <c r="K66" s="217"/>
      <c r="L66" s="217"/>
      <c r="M66" s="217"/>
      <c r="N66" s="217"/>
      <c r="O66" s="217"/>
      <c r="P66" s="217"/>
      <c r="Q66" s="217"/>
      <c r="R66" s="133"/>
      <c r="V66" s="133"/>
      <c r="AJ66" s="292"/>
      <c r="AK66" s="292"/>
      <c r="AL66" s="292"/>
      <c r="AM66" s="292"/>
      <c r="AN66" s="292"/>
    </row>
    <row r="67" spans="1:40" x14ac:dyDescent="0.25">
      <c r="A67" s="307"/>
      <c r="B67" s="357" t="s">
        <v>1175</v>
      </c>
      <c r="C67" s="128">
        <f>('Unit costs'!N36*'Unit costs'!O36)+('Unit costs'!N37*'Unit costs'!O37)+('Unit costs'!N38*'Unit costs'!O38)-'Capacity (local prices) 2nd'!C68</f>
        <v>59</v>
      </c>
      <c r="D67" s="128">
        <f>D$7*'Inputs and eligible population'!E71*$C$67</f>
        <v>5057.2836967872372</v>
      </c>
      <c r="E67" s="128">
        <f>E$7*'Inputs and eligible population'!F71*$C$67</f>
        <v>7029.2470436152607</v>
      </c>
      <c r="F67" s="128">
        <f>F$7*'Inputs and eligible population'!G71*$C$67</f>
        <v>15465.829667340915</v>
      </c>
      <c r="G67" s="128">
        <f>G$7*'Inputs and eligible population'!H71*$C$67</f>
        <v>23422.422328895005</v>
      </c>
      <c r="H67" s="128">
        <f>H$7*'Inputs and eligible population'!I71*$C$67</f>
        <v>31531.009087105387</v>
      </c>
      <c r="I67" s="128">
        <f>I$7*'Inputs and eligible population'!J71*$C$67</f>
        <v>31835.025005866642</v>
      </c>
      <c r="J67" s="217"/>
      <c r="K67" s="217"/>
      <c r="L67" s="217"/>
      <c r="M67" s="217"/>
      <c r="N67" s="217"/>
      <c r="O67" s="217"/>
      <c r="P67" s="217"/>
      <c r="Q67" s="217"/>
      <c r="R67" s="133"/>
      <c r="V67" s="133"/>
      <c r="AJ67" s="292"/>
      <c r="AK67" s="292"/>
      <c r="AL67" s="292"/>
      <c r="AM67" s="292"/>
      <c r="AN67" s="292"/>
    </row>
    <row r="68" spans="1:40" x14ac:dyDescent="0.25">
      <c r="A68" s="307"/>
      <c r="B68" s="357" t="s">
        <v>1176</v>
      </c>
      <c r="C68" s="128">
        <f>'Unit costs'!O42</f>
        <v>7.0928571428571434</v>
      </c>
      <c r="D68" s="128">
        <f>D$7*'Inputs and eligible population'!E71*C68</f>
        <v>607.97611512224296</v>
      </c>
      <c r="E68" s="128">
        <f>D$7*'Inputs and eligible population'!E71*$C$68</f>
        <v>607.97611512224296</v>
      </c>
      <c r="F68" s="128">
        <f>E$7*'Inputs and eligible population'!F71*$C$68</f>
        <v>845.04144241040615</v>
      </c>
      <c r="G68" s="128">
        <f>F$7*'Inputs and eligible population'!G71*$C$68</f>
        <v>1859.2698377323886</v>
      </c>
      <c r="H68" s="128">
        <f>G$7*'Inputs and eligible population'!H71*$C$68</f>
        <v>2815.794839296942</v>
      </c>
      <c r="I68" s="128">
        <f>H$7*'Inputs and eligible population'!I71*$C$68</f>
        <v>3790.5922546604902</v>
      </c>
      <c r="J68" s="217"/>
      <c r="K68" s="217"/>
      <c r="L68" s="217"/>
      <c r="M68" s="217"/>
      <c r="N68" s="217"/>
      <c r="O68" s="217"/>
      <c r="P68" s="217"/>
      <c r="Q68" s="217"/>
      <c r="R68" s="133"/>
      <c r="V68" s="133"/>
      <c r="AJ68" s="292"/>
      <c r="AK68" s="292"/>
      <c r="AL68" s="292"/>
      <c r="AM68" s="292"/>
      <c r="AN68" s="292"/>
    </row>
    <row r="69" spans="1:40" x14ac:dyDescent="0.25">
      <c r="A69" s="307"/>
      <c r="B69" s="357" t="s">
        <v>1177</v>
      </c>
      <c r="C69" s="128">
        <f>('Unit costs'!N42*'Unit costs'!O42)-'Capacity (local prices) 2nd'!C70</f>
        <v>35.464285714285722</v>
      </c>
      <c r="D69" s="128">
        <f>D$7*'Inputs and eligible population'!E71*$C$69</f>
        <v>3039.8805756112151</v>
      </c>
      <c r="E69" s="128">
        <f>D$7*'Inputs and eligible population'!E71*$C$69</f>
        <v>3039.8805756112151</v>
      </c>
      <c r="F69" s="128">
        <f>E$7*'Inputs and eligible population'!F71*$C$69</f>
        <v>4225.2072120520315</v>
      </c>
      <c r="G69" s="128">
        <f>F$7*'Inputs and eligible population'!G71*$C$69</f>
        <v>9296.3491886619431</v>
      </c>
      <c r="H69" s="128">
        <f>G$7*'Inputs and eligible population'!H71*$C$69</f>
        <v>14078.974196484713</v>
      </c>
      <c r="I69" s="128">
        <f>H$7*'Inputs and eligible population'!I71*$C$69</f>
        <v>18952.961273302455</v>
      </c>
      <c r="J69" s="217"/>
      <c r="K69" s="217"/>
      <c r="L69" s="217"/>
      <c r="M69" s="217"/>
      <c r="N69" s="217"/>
      <c r="O69" s="217"/>
      <c r="P69" s="217"/>
      <c r="Q69" s="217"/>
      <c r="R69" s="133"/>
      <c r="V69" s="133"/>
      <c r="AJ69" s="292"/>
      <c r="AK69" s="292"/>
      <c r="AL69" s="292"/>
      <c r="AM69" s="292"/>
      <c r="AN69" s="292"/>
    </row>
    <row r="70" spans="1:40" x14ac:dyDescent="0.25">
      <c r="A70" s="307"/>
      <c r="B70" s="357" t="s">
        <v>1173</v>
      </c>
      <c r="C70" s="128">
        <f>'Unit costs'!O19</f>
        <v>13.035714285714286</v>
      </c>
      <c r="D70" s="128">
        <f>D$7*'Inputs and eligible population'!E72*$C$70</f>
        <v>5447.2180254060477</v>
      </c>
      <c r="E70" s="128">
        <f>E$7*'Inputs and eligible population'!F72*$C$70</f>
        <v>5076.6822026040518</v>
      </c>
      <c r="F70" s="128">
        <f>F$7*'Inputs and eligible population'!G72*$C$70</f>
        <v>4556.1160844063234</v>
      </c>
      <c r="G70" s="128">
        <f>G$7*'Inputs and eligible population'!H72*$C$70</f>
        <v>4025.0396186660441</v>
      </c>
      <c r="H70" s="128">
        <f>H$7*'Inputs and eligible population'!I72*$C$70</f>
        <v>3483.298522031921</v>
      </c>
      <c r="I70" s="128">
        <f>I$7*'Inputs and eligible population'!J72*$C$70</f>
        <v>3516.8838157207401</v>
      </c>
      <c r="J70" s="440"/>
      <c r="K70" s="217"/>
      <c r="L70" s="217"/>
      <c r="M70" s="217"/>
      <c r="N70" s="217"/>
      <c r="O70" s="217"/>
      <c r="P70" s="217"/>
      <c r="Q70" s="217"/>
      <c r="R70" s="133"/>
      <c r="V70" s="133"/>
      <c r="AJ70" s="292"/>
      <c r="AK70" s="292"/>
      <c r="AL70" s="292"/>
      <c r="AM70" s="292"/>
      <c r="AN70" s="292"/>
    </row>
    <row r="71" spans="1:40" x14ac:dyDescent="0.25">
      <c r="A71" s="307"/>
      <c r="B71" s="357" t="s">
        <v>1268</v>
      </c>
      <c r="C71" s="128">
        <f>'Unit costs'!O23+'Unit costs'!O24+'Unit costs'!O25</f>
        <v>13</v>
      </c>
      <c r="D71" s="128">
        <f>D$7*'Inputs and eligible population'!E73*$C$71</f>
        <v>5293.0045470612185</v>
      </c>
      <c r="E71" s="128">
        <f>E$7*'Inputs and eligible population'!F73*$C$71</f>
        <v>5062.7734842407526</v>
      </c>
      <c r="F71" s="128">
        <f>F$7*'Inputs and eligible population'!G73*$C$71</f>
        <v>4543.6335745860315</v>
      </c>
      <c r="G71" s="128">
        <f>G$7*'Inputs and eligible population'!H73*$C$71</f>
        <v>4014.0121128614796</v>
      </c>
      <c r="H71" s="128">
        <f>H$7*'Inputs and eligible population'!I73*$C$71</f>
        <v>3473.7552384099154</v>
      </c>
      <c r="I71" s="128">
        <f>I$7*'Inputs and eligible population'!J73*$C$71</f>
        <v>3507.2485175954776</v>
      </c>
      <c r="J71" s="217"/>
      <c r="K71" s="217"/>
      <c r="L71" s="217"/>
      <c r="M71" s="217"/>
      <c r="N71" s="217"/>
      <c r="O71" s="217"/>
      <c r="P71" s="217"/>
      <c r="Q71" s="217"/>
      <c r="R71" s="133"/>
      <c r="V71" s="133"/>
      <c r="AJ71" s="292"/>
      <c r="AK71" s="292"/>
      <c r="AL71" s="292"/>
      <c r="AM71" s="292"/>
      <c r="AN71" s="292"/>
    </row>
    <row r="72" spans="1:40" x14ac:dyDescent="0.25">
      <c r="A72" s="307"/>
      <c r="B72" s="357" t="s">
        <v>1269</v>
      </c>
      <c r="C72" s="128">
        <f>'Unit costs'!N23*'Unit costs'!O23+'Unit costs'!N24*'Unit costs'!O24+'Unit costs'!N25*'Unit costs'!O25+'Unit costs'!N26*'Unit costs'!O26-'Capacity (local prices) 2nd'!C73</f>
        <v>63</v>
      </c>
      <c r="D72" s="128">
        <f>D$7*'Inputs and eligible population'!E73*$C$72</f>
        <v>25650.71434345052</v>
      </c>
      <c r="E72" s="128">
        <f>E$7*'Inputs and eligible population'!F73*$C$72</f>
        <v>24534.979192859031</v>
      </c>
      <c r="F72" s="128">
        <f>F$7*'Inputs and eligible population'!G73*$C$72</f>
        <v>22019.147322993846</v>
      </c>
      <c r="G72" s="128">
        <f>G$7*'Inputs and eligible population'!H73*$C$72</f>
        <v>19452.520239251786</v>
      </c>
      <c r="H72" s="128">
        <f>H$7*'Inputs and eligible population'!I73*$C$72</f>
        <v>16834.352309217284</v>
      </c>
      <c r="I72" s="128">
        <f>I$7*'Inputs and eligible population'!J73*$C$72</f>
        <v>16996.665892962701</v>
      </c>
      <c r="J72" s="217"/>
      <c r="K72" s="217"/>
      <c r="L72" s="217"/>
      <c r="M72" s="217"/>
      <c r="N72" s="217"/>
      <c r="O72" s="217"/>
      <c r="P72" s="217"/>
      <c r="Q72" s="217"/>
      <c r="R72" s="133"/>
      <c r="V72" s="133"/>
      <c r="AJ72" s="292"/>
      <c r="AK72" s="292"/>
      <c r="AL72" s="292"/>
      <c r="AM72" s="292"/>
      <c r="AN72" s="292"/>
    </row>
    <row r="73" spans="1:40" x14ac:dyDescent="0.25">
      <c r="A73" s="307"/>
      <c r="B73" s="357" t="s">
        <v>1270</v>
      </c>
      <c r="C73" s="128">
        <f>'Unit costs'!O32</f>
        <v>9</v>
      </c>
      <c r="D73" s="128">
        <f>D$7*'Inputs and eligible population'!E73*$C$73</f>
        <v>3664.3877633500742</v>
      </c>
      <c r="E73" s="128">
        <f>D$7*'Inputs and eligible population'!E73*$C$73</f>
        <v>3664.3877633500742</v>
      </c>
      <c r="F73" s="128">
        <f>E$7*'Inputs and eligible population'!F73*$C$73</f>
        <v>3504.9970275512901</v>
      </c>
      <c r="G73" s="128">
        <f>F$7*'Inputs and eligible population'!G73*$C$73</f>
        <v>3145.5924747134068</v>
      </c>
      <c r="H73" s="128">
        <f>G$7*'Inputs and eligible population'!H73*$C$73</f>
        <v>2778.9314627502549</v>
      </c>
      <c r="I73" s="128">
        <f>H$7*'Inputs and eligible population'!I73*$C$73</f>
        <v>2404.9074727453262</v>
      </c>
      <c r="J73" s="217"/>
      <c r="K73" s="217"/>
      <c r="L73" s="217"/>
      <c r="M73" s="217"/>
      <c r="N73" s="217"/>
      <c r="O73" s="217"/>
      <c r="P73" s="217"/>
      <c r="Q73" s="217"/>
      <c r="R73" s="133"/>
      <c r="V73" s="133"/>
      <c r="AJ73" s="292"/>
      <c r="AK73" s="292"/>
      <c r="AL73" s="292"/>
      <c r="AM73" s="292"/>
      <c r="AN73" s="292"/>
    </row>
    <row r="74" spans="1:40" x14ac:dyDescent="0.25">
      <c r="A74" s="307"/>
      <c r="B74" s="357" t="s">
        <v>1271</v>
      </c>
      <c r="C74" s="128">
        <f>'Unit costs'!O31*'Unit costs'!N31</f>
        <v>4</v>
      </c>
      <c r="D74" s="128">
        <f>D$7*'Inputs and eligible population'!E73*$C$74</f>
        <v>1628.6167837111441</v>
      </c>
      <c r="E74" s="128">
        <f>D$7*'Inputs and eligible population'!E73*$C$74</f>
        <v>1628.6167837111441</v>
      </c>
      <c r="F74" s="128">
        <f>E$7*'Inputs and eligible population'!F73*$C$74</f>
        <v>1557.7764566894623</v>
      </c>
      <c r="G74" s="128">
        <f>F$7*'Inputs and eligible population'!G73*$C$74</f>
        <v>1398.0410998726252</v>
      </c>
      <c r="H74" s="128">
        <f>G$7*'Inputs and eligible population'!H73*$C$74</f>
        <v>1235.0806501112245</v>
      </c>
      <c r="I74" s="128">
        <f>H$7*'Inputs and eligible population'!I73*$C$74</f>
        <v>1068.8477656645894</v>
      </c>
      <c r="J74" s="217"/>
      <c r="K74" s="217"/>
      <c r="L74" s="217"/>
      <c r="M74" s="217"/>
      <c r="N74" s="217"/>
      <c r="O74" s="217"/>
      <c r="P74" s="217"/>
      <c r="Q74" s="217"/>
      <c r="R74" s="133"/>
      <c r="V74" s="133"/>
      <c r="AJ74" s="292"/>
      <c r="AK74" s="292"/>
      <c r="AL74" s="292"/>
      <c r="AM74" s="292"/>
      <c r="AN74" s="292"/>
    </row>
    <row r="75" spans="1:40" x14ac:dyDescent="0.25">
      <c r="A75" s="307"/>
      <c r="B75" s="706" t="s">
        <v>1178</v>
      </c>
      <c r="C75" s="128">
        <f>'Unit costs'!N46+'Unit costs'!N47+'Unit costs'!N48</f>
        <v>3</v>
      </c>
      <c r="D75" s="128">
        <f>D$7*'Inputs and eligible population'!E74*$C$75</f>
        <v>3696.5315156601623</v>
      </c>
      <c r="E75" s="128">
        <f>E$7*'Inputs and eligible population'!F74*$C$75</f>
        <v>3440.0896751892292</v>
      </c>
      <c r="F75" s="128">
        <f>F$7*'Inputs and eligible population'!G74*$C$75</f>
        <v>2883.4597684872892</v>
      </c>
      <c r="G75" s="128">
        <f>G$7*'Inputs and eligible population'!H74*$C$75</f>
        <v>2381.9412537859325</v>
      </c>
      <c r="H75" s="128">
        <f>H$7*'Inputs and eligible population'!I74*$C$75</f>
        <v>1870.4835899130314</v>
      </c>
      <c r="I75" s="128">
        <f>I$7*'Inputs and eligible population'!J74*$C$75</f>
        <v>1888.518432551411</v>
      </c>
      <c r="J75" s="217"/>
      <c r="K75" s="217"/>
      <c r="L75" s="217"/>
      <c r="M75" s="217"/>
      <c r="N75" s="217"/>
      <c r="O75" s="217"/>
      <c r="P75" s="217"/>
      <c r="Q75" s="217"/>
      <c r="R75" s="133"/>
      <c r="V75" s="133"/>
      <c r="AJ75" s="292"/>
      <c r="AK75" s="292"/>
      <c r="AL75" s="292"/>
      <c r="AM75" s="292"/>
      <c r="AN75" s="292"/>
    </row>
    <row r="76" spans="1:40" x14ac:dyDescent="0.25">
      <c r="A76" s="307"/>
      <c r="B76" s="706" t="s">
        <v>1179</v>
      </c>
      <c r="C76" s="128">
        <f>'Unit costs'!O46+'Unit costs'!O47+'Unit costs'!O48+'Unit costs'!O49*'Unit costs'!N49-C75</f>
        <v>50</v>
      </c>
      <c r="D76" s="128">
        <f>D$7*'Inputs and eligible population'!E74*$C$76</f>
        <v>61608.858594336038</v>
      </c>
      <c r="E76" s="128">
        <f>E$7*'Inputs and eligible population'!F74*$C$76</f>
        <v>57334.827919820484</v>
      </c>
      <c r="F76" s="128">
        <f>F$7*'Inputs and eligible population'!G74*$C$76</f>
        <v>48057.662808121488</v>
      </c>
      <c r="G76" s="128">
        <f>G$7*'Inputs and eligible population'!H74*$C$76</f>
        <v>39699.020896432208</v>
      </c>
      <c r="H76" s="128">
        <f>H$7*'Inputs and eligible population'!I74*$C$76</f>
        <v>31174.726498550524</v>
      </c>
      <c r="I76" s="128">
        <f>I$7*'Inputs and eligible population'!J74*$C$76</f>
        <v>31475.307209190185</v>
      </c>
      <c r="J76" s="217"/>
      <c r="K76" s="217"/>
      <c r="L76" s="217"/>
      <c r="M76" s="217"/>
      <c r="N76" s="217"/>
      <c r="O76" s="217"/>
      <c r="P76" s="217"/>
      <c r="Q76" s="217"/>
      <c r="R76" s="133"/>
      <c r="V76" s="133"/>
      <c r="AJ76" s="292"/>
      <c r="AK76" s="292"/>
      <c r="AL76" s="292"/>
      <c r="AM76" s="292"/>
      <c r="AN76" s="292"/>
    </row>
    <row r="77" spans="1:40" x14ac:dyDescent="0.25">
      <c r="A77" s="307"/>
      <c r="B77" s="706" t="s">
        <v>1180</v>
      </c>
      <c r="C77" s="128">
        <f>'Unit costs'!O53</f>
        <v>13</v>
      </c>
      <c r="D77" s="128">
        <f>D$7*'Inputs and eligible population'!E74*$C$77</f>
        <v>16018.30323452737</v>
      </c>
      <c r="E77" s="128">
        <f>D$7*'Inputs and eligible population'!E74*$C$77</f>
        <v>16018.30323452737</v>
      </c>
      <c r="F77" s="128">
        <f>E$7*'Inputs and eligible population'!F74*$C$77</f>
        <v>14907.055259153327</v>
      </c>
      <c r="G77" s="128">
        <f>F$7*'Inputs and eligible population'!G74*$C$77</f>
        <v>12494.992330111587</v>
      </c>
      <c r="H77" s="128">
        <f>G$7*'Inputs and eligible population'!H74*$C$77</f>
        <v>10321.745433072374</v>
      </c>
      <c r="I77" s="128">
        <f>H$7*'Inputs and eligible population'!I74*$C$77</f>
        <v>8105.4288896231365</v>
      </c>
      <c r="J77" s="217"/>
      <c r="K77" s="217"/>
      <c r="L77" s="217"/>
      <c r="M77" s="217"/>
      <c r="N77" s="217"/>
      <c r="O77" s="217"/>
      <c r="P77" s="217"/>
      <c r="Q77" s="217"/>
      <c r="R77" s="133"/>
      <c r="V77" s="133"/>
      <c r="AJ77" s="292"/>
      <c r="AK77" s="292"/>
      <c r="AL77" s="292"/>
      <c r="AM77" s="292"/>
      <c r="AN77" s="292"/>
    </row>
    <row r="78" spans="1:40" x14ac:dyDescent="0.25">
      <c r="A78" s="307"/>
      <c r="B78" s="329"/>
      <c r="C78" s="329"/>
      <c r="D78" s="187">
        <f t="shared" ref="D78:I78" si="35">SUM(D62:D77)</f>
        <v>132827.09194177302</v>
      </c>
      <c r="E78" s="187">
        <f t="shared" si="35"/>
        <v>133956.41197540789</v>
      </c>
      <c r="F78" s="187">
        <f t="shared" si="35"/>
        <v>137639.50825959214</v>
      </c>
      <c r="G78" s="187">
        <f t="shared" si="35"/>
        <v>144518.98296567149</v>
      </c>
      <c r="H78" s="187">
        <f t="shared" si="35"/>
        <v>151275.15847006874</v>
      </c>
      <c r="I78" s="187">
        <f t="shared" si="35"/>
        <v>156344.77570089762</v>
      </c>
      <c r="J78" s="302"/>
      <c r="K78" s="302"/>
      <c r="L78" s="302"/>
      <c r="M78" s="302"/>
      <c r="N78" s="302"/>
      <c r="O78" s="302"/>
      <c r="P78" s="302"/>
      <c r="Q78" s="302"/>
      <c r="R78" s="133"/>
      <c r="V78" s="133"/>
      <c r="AJ78" s="292"/>
      <c r="AK78" s="292"/>
      <c r="AL78" s="292"/>
      <c r="AM78" s="292"/>
      <c r="AN78" s="292"/>
    </row>
    <row r="79" spans="1:40" x14ac:dyDescent="0.25">
      <c r="A79" s="307"/>
      <c r="B79" s="262"/>
      <c r="C79" s="262"/>
      <c r="D79" s="291" t="s">
        <v>756</v>
      </c>
      <c r="E79" s="187">
        <f>E78-$D$78</f>
        <v>1129.3200336348673</v>
      </c>
      <c r="F79" s="187">
        <f>F78-$D$78</f>
        <v>4812.4163178191229</v>
      </c>
      <c r="G79" s="187">
        <f>G78-$D$78</f>
        <v>11691.891023898468</v>
      </c>
      <c r="H79" s="187">
        <f>H78-$D$78</f>
        <v>18448.06652829572</v>
      </c>
      <c r="I79" s="187">
        <f>I78-$D$78</f>
        <v>23517.6837591246</v>
      </c>
      <c r="J79" s="302"/>
      <c r="K79" s="302"/>
      <c r="L79" s="302"/>
      <c r="M79" s="302"/>
      <c r="N79" s="302"/>
      <c r="O79" s="302"/>
      <c r="P79" s="302"/>
      <c r="Q79" s="302"/>
      <c r="R79" s="133"/>
      <c r="S79" s="133"/>
      <c r="T79" s="133"/>
      <c r="U79" s="133"/>
      <c r="V79" s="133"/>
      <c r="W79" s="133"/>
      <c r="X79" s="133"/>
      <c r="Y79" s="133"/>
      <c r="Z79" s="133"/>
      <c r="AJ79" s="292"/>
      <c r="AK79" s="292"/>
      <c r="AL79" s="292"/>
      <c r="AM79" s="292"/>
      <c r="AN79" s="292"/>
    </row>
    <row r="80" spans="1:40" x14ac:dyDescent="0.25">
      <c r="A80" s="302"/>
      <c r="B80" s="328"/>
      <c r="C80" s="305"/>
      <c r="D80" s="305"/>
      <c r="E80" s="306"/>
      <c r="F80" s="302"/>
      <c r="G80" s="302"/>
      <c r="H80" s="217"/>
      <c r="I80" s="217"/>
      <c r="J80" s="217"/>
      <c r="K80" s="217"/>
      <c r="L80" s="217"/>
      <c r="M80" s="217"/>
      <c r="N80" s="217"/>
      <c r="O80" s="217"/>
      <c r="P80" s="217"/>
      <c r="Q80" s="217"/>
      <c r="R80" s="133"/>
      <c r="S80" s="133"/>
      <c r="T80" s="133"/>
      <c r="U80" s="133"/>
      <c r="V80" s="133"/>
      <c r="W80" s="133"/>
      <c r="X80" s="133"/>
      <c r="Y80" s="133"/>
      <c r="Z80" s="133"/>
      <c r="AJ80" s="292"/>
      <c r="AK80" s="292"/>
      <c r="AL80" s="292"/>
      <c r="AM80" s="292"/>
      <c r="AN80" s="292"/>
    </row>
    <row r="81" spans="1:40" x14ac:dyDescent="0.25">
      <c r="A81" s="293"/>
      <c r="B81" s="330" t="s">
        <v>757</v>
      </c>
      <c r="C81" s="308"/>
      <c r="D81" s="308"/>
      <c r="E81" s="309"/>
      <c r="F81" s="310"/>
      <c r="G81" s="311"/>
      <c r="H81" s="311"/>
      <c r="I81" s="311"/>
      <c r="J81" s="445"/>
      <c r="K81" s="293"/>
      <c r="L81" s="293"/>
      <c r="M81" s="293"/>
      <c r="N81" s="293"/>
      <c r="O81" s="293"/>
      <c r="P81" s="293"/>
      <c r="Q81" s="219"/>
      <c r="R81" s="133"/>
      <c r="V81" s="133"/>
    </row>
    <row r="82" spans="1:40" x14ac:dyDescent="0.25">
      <c r="A82" s="293"/>
      <c r="B82" s="400" t="s">
        <v>758</v>
      </c>
      <c r="C82" s="401"/>
      <c r="D82" s="401"/>
      <c r="E82" s="401"/>
      <c r="F82" s="401"/>
      <c r="G82" s="401"/>
      <c r="H82" s="401"/>
      <c r="I82" s="218"/>
      <c r="J82" s="442"/>
      <c r="K82" s="219"/>
      <c r="L82" s="293"/>
      <c r="M82" s="293"/>
      <c r="N82" s="293"/>
      <c r="O82" s="293"/>
      <c r="P82" s="293"/>
      <c r="Q82" s="219"/>
      <c r="R82" s="133"/>
      <c r="V82" s="133"/>
    </row>
    <row r="83" spans="1:40" ht="60" x14ac:dyDescent="0.25">
      <c r="A83" s="293"/>
      <c r="B83" s="288" t="s">
        <v>131</v>
      </c>
      <c r="C83" s="166" t="s">
        <v>759</v>
      </c>
      <c r="D83" s="434" t="s">
        <v>743</v>
      </c>
      <c r="E83" s="261" t="s">
        <v>51</v>
      </c>
      <c r="F83" s="261" t="s">
        <v>52</v>
      </c>
      <c r="G83" s="165" t="s">
        <v>744</v>
      </c>
      <c r="H83" s="165" t="s">
        <v>745</v>
      </c>
      <c r="I83" s="261" t="s">
        <v>746</v>
      </c>
      <c r="J83" s="293"/>
      <c r="K83" s="293"/>
      <c r="L83" s="293"/>
      <c r="M83" s="293"/>
      <c r="N83" s="293"/>
      <c r="O83" s="293"/>
      <c r="P83" s="293"/>
      <c r="Q83" s="219"/>
      <c r="R83" s="133"/>
      <c r="V83" s="133"/>
    </row>
    <row r="84" spans="1:40" x14ac:dyDescent="0.25">
      <c r="A84" s="293"/>
      <c r="B84" s="358" t="s">
        <v>1247</v>
      </c>
      <c r="C84" s="149">
        <f>'Inputs and eligible population'!F102</f>
        <v>10</v>
      </c>
      <c r="D84" s="128">
        <f t="shared" ref="D84:I84" si="36">((D62+D63+D64+D65)*$C$84)/60</f>
        <v>0</v>
      </c>
      <c r="E84" s="128">
        <f t="shared" si="36"/>
        <v>828.30513992560782</v>
      </c>
      <c r="F84" s="128">
        <f t="shared" si="36"/>
        <v>1944.3094091433647</v>
      </c>
      <c r="G84" s="128">
        <f t="shared" si="36"/>
        <v>3028.1514780251437</v>
      </c>
      <c r="H84" s="128">
        <f t="shared" si="36"/>
        <v>4121.5826943842221</v>
      </c>
      <c r="I84" s="128">
        <f t="shared" si="36"/>
        <v>4297.9820226372512</v>
      </c>
      <c r="J84" s="293"/>
      <c r="K84" s="293"/>
      <c r="L84" s="293"/>
      <c r="M84" s="293"/>
      <c r="N84" s="293"/>
      <c r="O84" s="293"/>
      <c r="P84" s="293"/>
      <c r="Q84" s="219"/>
      <c r="R84" s="133"/>
      <c r="S84" s="133"/>
      <c r="T84" s="133"/>
      <c r="U84" s="133"/>
      <c r="V84" s="133"/>
      <c r="W84" s="133"/>
      <c r="X84" s="133"/>
      <c r="Y84" s="133"/>
      <c r="Z84" s="133"/>
      <c r="AJ84" s="292"/>
      <c r="AK84" s="292"/>
      <c r="AL84" s="292"/>
      <c r="AM84" s="292"/>
      <c r="AN84" s="292"/>
    </row>
    <row r="85" spans="1:40" x14ac:dyDescent="0.25">
      <c r="A85" s="293"/>
      <c r="B85" s="358" t="s">
        <v>1249</v>
      </c>
      <c r="C85" s="149">
        <f>'Inputs and eligible population'!G102</f>
        <v>30</v>
      </c>
      <c r="D85" s="128">
        <f t="shared" ref="D85:I85" si="37">((D66+D67+D69+D68)*$C$85)/60</f>
        <v>4909.7285671352129</v>
      </c>
      <c r="E85" s="128">
        <f t="shared" si="37"/>
        <v>6112.9604397760404</v>
      </c>
      <c r="F85" s="128">
        <f t="shared" si="37"/>
        <v>11971.901751371437</v>
      </c>
      <c r="G85" s="128">
        <f t="shared" si="37"/>
        <v>19869.457035912765</v>
      </c>
      <c r="H85" s="128">
        <f t="shared" si="37"/>
        <v>27686.644299853437</v>
      </c>
      <c r="I85" s="128">
        <f t="shared" si="37"/>
        <v>30796.537784510274</v>
      </c>
      <c r="J85" s="293"/>
      <c r="K85" s="293"/>
      <c r="L85" s="293"/>
      <c r="M85" s="293"/>
      <c r="N85" s="293"/>
      <c r="O85" s="293"/>
      <c r="P85" s="293"/>
      <c r="Q85" s="219"/>
      <c r="R85" s="133"/>
      <c r="S85" s="133"/>
      <c r="T85" s="133"/>
      <c r="U85" s="133"/>
      <c r="V85" s="133"/>
      <c r="W85" s="133"/>
      <c r="X85" s="133"/>
      <c r="Y85" s="133"/>
      <c r="Z85" s="133"/>
      <c r="AJ85" s="292"/>
      <c r="AK85" s="292"/>
      <c r="AL85" s="292"/>
      <c r="AM85" s="292"/>
      <c r="AN85" s="292"/>
    </row>
    <row r="86" spans="1:40" x14ac:dyDescent="0.25">
      <c r="A86" s="293"/>
      <c r="B86" s="358" t="s">
        <v>1248</v>
      </c>
      <c r="C86" s="149">
        <f>'Inputs and eligible population'!H102</f>
        <v>0</v>
      </c>
      <c r="D86" s="128">
        <f t="shared" ref="D86:I86" si="38">(D70*$C$86)/60</f>
        <v>0</v>
      </c>
      <c r="E86" s="128">
        <f t="shared" si="38"/>
        <v>0</v>
      </c>
      <c r="F86" s="128">
        <f t="shared" si="38"/>
        <v>0</v>
      </c>
      <c r="G86" s="128">
        <f t="shared" si="38"/>
        <v>0</v>
      </c>
      <c r="H86" s="128">
        <f t="shared" si="38"/>
        <v>0</v>
      </c>
      <c r="I86" s="128">
        <f t="shared" si="38"/>
        <v>0</v>
      </c>
      <c r="J86" s="293"/>
      <c r="K86" s="293"/>
      <c r="L86" s="293"/>
      <c r="M86" s="293"/>
      <c r="N86" s="293"/>
      <c r="O86" s="293"/>
      <c r="P86" s="293"/>
      <c r="Q86" s="219"/>
      <c r="R86" s="133"/>
      <c r="S86" s="133"/>
      <c r="T86" s="133"/>
      <c r="U86" s="133"/>
      <c r="V86" s="133"/>
      <c r="W86" s="133"/>
      <c r="X86" s="133"/>
      <c r="Y86" s="133"/>
      <c r="Z86" s="133"/>
      <c r="AJ86" s="292"/>
      <c r="AK86" s="292"/>
      <c r="AL86" s="292"/>
      <c r="AM86" s="292"/>
      <c r="AN86" s="292"/>
    </row>
    <row r="87" spans="1:40" x14ac:dyDescent="0.25">
      <c r="A87" s="293"/>
      <c r="B87" s="358" t="s">
        <v>1259</v>
      </c>
      <c r="C87" s="149">
        <f>'Inputs and eligible population'!I102</f>
        <v>30</v>
      </c>
      <c r="D87" s="128">
        <f t="shared" ref="D87:I87" si="39">((D71+D72+D74)*$C$87)/60</f>
        <v>16286.167837111438</v>
      </c>
      <c r="E87" s="128">
        <f t="shared" si="39"/>
        <v>15613.184730405463</v>
      </c>
      <c r="F87" s="128">
        <f t="shared" si="39"/>
        <v>14060.278677134669</v>
      </c>
      <c r="G87" s="128">
        <f t="shared" si="39"/>
        <v>12432.286725992946</v>
      </c>
      <c r="H87" s="128">
        <f t="shared" si="39"/>
        <v>10771.594098869211</v>
      </c>
      <c r="I87" s="128">
        <f t="shared" si="39"/>
        <v>10786.381088111384</v>
      </c>
      <c r="J87" s="293"/>
      <c r="K87" s="293"/>
      <c r="L87" s="293"/>
      <c r="M87" s="293"/>
      <c r="N87" s="293"/>
      <c r="O87" s="293"/>
      <c r="P87" s="293"/>
      <c r="Q87" s="219"/>
      <c r="R87" s="133"/>
      <c r="S87" s="133"/>
      <c r="T87" s="133"/>
      <c r="U87" s="133"/>
      <c r="V87" s="133"/>
      <c r="W87" s="133"/>
      <c r="X87" s="133"/>
      <c r="Y87" s="133"/>
      <c r="Z87" s="133"/>
      <c r="AJ87" s="292"/>
      <c r="AK87" s="292"/>
      <c r="AL87" s="292"/>
      <c r="AM87" s="292"/>
      <c r="AN87" s="292"/>
    </row>
    <row r="88" spans="1:40" x14ac:dyDescent="0.25">
      <c r="A88" s="293"/>
      <c r="B88" s="358" t="s">
        <v>1250</v>
      </c>
      <c r="C88" s="149">
        <f>'Inputs and eligible population'!J102</f>
        <v>10</v>
      </c>
      <c r="D88" s="128">
        <f t="shared" ref="D88:I88" si="40">((D76+D75+D77)*$C$88)/60</f>
        <v>13553.948890753929</v>
      </c>
      <c r="E88" s="128">
        <f t="shared" si="40"/>
        <v>12798.870138256179</v>
      </c>
      <c r="F88" s="128">
        <f t="shared" si="40"/>
        <v>10974.696305960349</v>
      </c>
      <c r="G88" s="128">
        <f t="shared" si="40"/>
        <v>9095.9924133882869</v>
      </c>
      <c r="H88" s="128">
        <f t="shared" si="40"/>
        <v>7227.8259202559884</v>
      </c>
      <c r="I88" s="128">
        <f t="shared" si="40"/>
        <v>6911.5424218941225</v>
      </c>
      <c r="J88" s="293"/>
      <c r="K88" s="293"/>
      <c r="L88" s="293"/>
      <c r="M88" s="293"/>
      <c r="N88" s="293"/>
      <c r="O88" s="293"/>
      <c r="P88" s="293"/>
      <c r="Q88" s="219"/>
      <c r="R88" s="133"/>
      <c r="S88" s="133"/>
      <c r="T88" s="133"/>
      <c r="U88" s="133"/>
      <c r="V88" s="133"/>
      <c r="W88" s="133"/>
      <c r="X88" s="133"/>
      <c r="Y88" s="133"/>
      <c r="Z88" s="133"/>
      <c r="AJ88" s="292"/>
      <c r="AK88" s="292"/>
      <c r="AL88" s="292"/>
      <c r="AM88" s="292"/>
      <c r="AN88" s="292"/>
    </row>
    <row r="89" spans="1:40" x14ac:dyDescent="0.25">
      <c r="A89" s="293"/>
      <c r="B89" s="289" t="s">
        <v>760</v>
      </c>
      <c r="C89" s="329"/>
      <c r="D89" s="187">
        <f t="shared" ref="D89:I89" si="41">SUM(D84:D88)</f>
        <v>34749.845295000581</v>
      </c>
      <c r="E89" s="187">
        <f t="shared" si="41"/>
        <v>35353.320448363287</v>
      </c>
      <c r="F89" s="187">
        <f t="shared" si="41"/>
        <v>38951.186143609819</v>
      </c>
      <c r="G89" s="187">
        <f t="shared" si="41"/>
        <v>44425.887653319143</v>
      </c>
      <c r="H89" s="187">
        <f t="shared" si="41"/>
        <v>49807.647013362854</v>
      </c>
      <c r="I89" s="187">
        <f t="shared" si="41"/>
        <v>52792.443317153025</v>
      </c>
      <c r="J89" s="293"/>
      <c r="K89" s="293"/>
      <c r="L89" s="293"/>
      <c r="M89" s="293"/>
      <c r="N89" s="293"/>
      <c r="O89" s="293"/>
      <c r="P89" s="293"/>
      <c r="Q89" s="219"/>
      <c r="R89" s="133"/>
      <c r="S89" s="133"/>
      <c r="T89" s="133"/>
      <c r="U89" s="133"/>
      <c r="V89" s="133"/>
      <c r="W89" s="133"/>
      <c r="X89" s="133"/>
      <c r="Y89" s="133"/>
      <c r="Z89" s="133"/>
      <c r="AJ89" s="292"/>
      <c r="AK89" s="292"/>
      <c r="AL89" s="292"/>
      <c r="AM89" s="292"/>
      <c r="AN89" s="292"/>
    </row>
    <row r="90" spans="1:40" x14ac:dyDescent="0.25">
      <c r="A90" s="293"/>
      <c r="B90" s="312"/>
      <c r="C90" s="262"/>
      <c r="D90" s="291" t="s">
        <v>761</v>
      </c>
      <c r="E90" s="187">
        <f>E89-$D$89</f>
        <v>603.4751533627059</v>
      </c>
      <c r="F90" s="187">
        <f>F89-$D$89</f>
        <v>4201.3408486092376</v>
      </c>
      <c r="G90" s="187">
        <f>G89-$D$89</f>
        <v>9676.042358318562</v>
      </c>
      <c r="H90" s="187">
        <f>H89-$D$89</f>
        <v>15057.801718362272</v>
      </c>
      <c r="I90" s="187">
        <f>I89-$D$89</f>
        <v>18042.598022152444</v>
      </c>
      <c r="J90" s="293"/>
      <c r="K90" s="293"/>
      <c r="L90" s="293"/>
      <c r="M90" s="293"/>
      <c r="N90" s="293"/>
      <c r="O90" s="293"/>
      <c r="P90" s="293"/>
      <c r="Q90" s="219"/>
      <c r="R90" s="133"/>
      <c r="S90" s="133"/>
      <c r="T90" s="133"/>
      <c r="U90" s="133"/>
      <c r="V90" s="133"/>
      <c r="W90" s="133"/>
      <c r="X90" s="133"/>
      <c r="Y90" s="133"/>
      <c r="Z90" s="133"/>
      <c r="AJ90" s="292"/>
      <c r="AK90" s="292"/>
      <c r="AL90" s="292"/>
      <c r="AM90" s="292"/>
      <c r="AN90" s="292"/>
    </row>
    <row r="91" spans="1:40" x14ac:dyDescent="0.25">
      <c r="A91" s="293"/>
      <c r="B91" s="331"/>
      <c r="C91" s="219"/>
      <c r="D91" s="219"/>
      <c r="E91" s="219"/>
      <c r="F91" s="219"/>
      <c r="G91" s="219"/>
      <c r="H91" s="219"/>
      <c r="I91" s="219"/>
      <c r="J91" s="219"/>
      <c r="K91" s="219"/>
      <c r="L91" s="293"/>
      <c r="M91" s="293"/>
      <c r="N91" s="293"/>
      <c r="O91" s="293"/>
      <c r="P91" s="293"/>
      <c r="Q91" s="219"/>
      <c r="R91" s="133"/>
      <c r="S91" s="133"/>
      <c r="T91" s="133"/>
      <c r="U91" s="133"/>
      <c r="V91" s="133"/>
      <c r="W91" s="133"/>
      <c r="X91" s="133"/>
      <c r="Y91" s="133"/>
      <c r="Z91" s="133"/>
      <c r="AJ91" s="292"/>
      <c r="AK91" s="292"/>
      <c r="AL91" s="292"/>
      <c r="AM91" s="292"/>
      <c r="AN91" s="292"/>
    </row>
    <row r="92" spans="1:40" x14ac:dyDescent="0.25">
      <c r="A92" s="293"/>
      <c r="B92" s="402" t="s">
        <v>762</v>
      </c>
      <c r="C92" s="401"/>
      <c r="D92" s="401"/>
      <c r="E92" s="401"/>
      <c r="F92" s="401"/>
      <c r="G92" s="401"/>
      <c r="H92" s="401"/>
      <c r="I92" s="218"/>
      <c r="J92" s="442"/>
      <c r="K92" s="219"/>
      <c r="L92" s="293"/>
      <c r="M92" s="293"/>
      <c r="N92" s="293"/>
      <c r="O92" s="293"/>
      <c r="P92" s="293"/>
      <c r="Q92" s="219"/>
      <c r="R92" s="133"/>
      <c r="S92" s="133"/>
      <c r="T92" s="133"/>
      <c r="U92" s="133"/>
      <c r="V92" s="133"/>
      <c r="W92" s="133"/>
      <c r="X92" s="133"/>
      <c r="Y92" s="133"/>
      <c r="Z92" s="133"/>
      <c r="AJ92" s="292"/>
      <c r="AK92" s="292"/>
      <c r="AL92" s="292"/>
      <c r="AM92" s="292"/>
      <c r="AN92" s="292"/>
    </row>
    <row r="93" spans="1:40" ht="75" x14ac:dyDescent="0.25">
      <c r="A93" s="293"/>
      <c r="B93" s="288" t="s">
        <v>131</v>
      </c>
      <c r="C93" s="166" t="s">
        <v>89</v>
      </c>
      <c r="D93" s="434" t="s">
        <v>743</v>
      </c>
      <c r="E93" s="261" t="s">
        <v>51</v>
      </c>
      <c r="F93" s="261" t="s">
        <v>52</v>
      </c>
      <c r="G93" s="165" t="s">
        <v>744</v>
      </c>
      <c r="H93" s="165" t="s">
        <v>745</v>
      </c>
      <c r="I93" s="261" t="s">
        <v>746</v>
      </c>
      <c r="J93" s="293"/>
      <c r="K93" s="293"/>
      <c r="L93" s="293"/>
      <c r="M93" s="293"/>
      <c r="N93" s="293"/>
      <c r="O93" s="293"/>
      <c r="P93" s="293"/>
      <c r="Q93" s="219"/>
      <c r="R93" s="133"/>
      <c r="S93" s="133"/>
      <c r="T93" s="133"/>
      <c r="U93" s="133"/>
      <c r="V93" s="133"/>
      <c r="W93" s="133"/>
      <c r="X93" s="133"/>
      <c r="Y93" s="133"/>
      <c r="Z93" s="133"/>
      <c r="AJ93" s="292"/>
      <c r="AK93" s="292"/>
      <c r="AL93" s="292"/>
      <c r="AM93" s="292"/>
      <c r="AN93" s="292"/>
    </row>
    <row r="94" spans="1:40" x14ac:dyDescent="0.25">
      <c r="A94" s="293"/>
      <c r="B94" s="358" t="s">
        <v>1247</v>
      </c>
      <c r="C94" s="149">
        <f>'Inputs and eligible population'!F103</f>
        <v>15</v>
      </c>
      <c r="D94" s="128">
        <f t="shared" ref="D94:I94" si="42">((D62+D63+D64+D65)*$C$94)/60</f>
        <v>0</v>
      </c>
      <c r="E94" s="128">
        <f t="shared" si="42"/>
        <v>1242.4577098884117</v>
      </c>
      <c r="F94" s="128">
        <f t="shared" si="42"/>
        <v>2916.4641137150475</v>
      </c>
      <c r="G94" s="128">
        <f t="shared" si="42"/>
        <v>4542.2272170377155</v>
      </c>
      <c r="H94" s="128">
        <f t="shared" si="42"/>
        <v>6182.3740415763332</v>
      </c>
      <c r="I94" s="128">
        <f t="shared" si="42"/>
        <v>6446.9730339558764</v>
      </c>
      <c r="J94" s="293"/>
      <c r="K94" s="293"/>
      <c r="L94" s="293"/>
      <c r="M94" s="293"/>
      <c r="N94" s="293"/>
      <c r="O94" s="293"/>
      <c r="P94" s="293"/>
      <c r="Q94" s="219"/>
      <c r="R94" s="133"/>
      <c r="S94" s="133"/>
      <c r="T94" s="133"/>
      <c r="U94" s="133"/>
      <c r="V94" s="133"/>
      <c r="W94" s="133"/>
      <c r="X94" s="133"/>
      <c r="Y94" s="133"/>
      <c r="Z94" s="133"/>
      <c r="AJ94" s="292"/>
      <c r="AK94" s="292"/>
      <c r="AL94" s="292"/>
      <c r="AM94" s="292"/>
      <c r="AN94" s="292"/>
    </row>
    <row r="95" spans="1:40" x14ac:dyDescent="0.25">
      <c r="A95" s="293"/>
      <c r="B95" s="358" t="s">
        <v>1249</v>
      </c>
      <c r="C95" s="149">
        <f>'Inputs and eligible population'!G103</f>
        <v>30</v>
      </c>
      <c r="D95" s="128">
        <f t="shared" ref="D95:I95" si="43">((D66+D67+D69+D68)*$C$95)/60</f>
        <v>4909.7285671352129</v>
      </c>
      <c r="E95" s="128">
        <f t="shared" si="43"/>
        <v>6112.9604397760404</v>
      </c>
      <c r="F95" s="128">
        <f t="shared" si="43"/>
        <v>11971.901751371437</v>
      </c>
      <c r="G95" s="128">
        <f t="shared" si="43"/>
        <v>19869.457035912765</v>
      </c>
      <c r="H95" s="128">
        <f t="shared" si="43"/>
        <v>27686.644299853437</v>
      </c>
      <c r="I95" s="128">
        <f t="shared" si="43"/>
        <v>30796.537784510274</v>
      </c>
      <c r="J95" s="293"/>
      <c r="K95" s="293"/>
      <c r="L95" s="293"/>
      <c r="M95" s="293"/>
      <c r="N95" s="293"/>
      <c r="O95" s="293"/>
      <c r="P95" s="293"/>
      <c r="Q95" s="219"/>
      <c r="R95" s="133"/>
      <c r="S95" s="133"/>
      <c r="T95" s="133"/>
      <c r="U95" s="133"/>
      <c r="V95" s="133"/>
      <c r="W95" s="133"/>
      <c r="X95" s="133"/>
      <c r="Y95" s="133"/>
      <c r="Z95" s="133"/>
      <c r="AJ95" s="292"/>
      <c r="AK95" s="292"/>
      <c r="AL95" s="292"/>
      <c r="AM95" s="292"/>
      <c r="AN95" s="292"/>
    </row>
    <row r="96" spans="1:40" x14ac:dyDescent="0.25">
      <c r="A96" s="293"/>
      <c r="B96" s="358" t="s">
        <v>1248</v>
      </c>
      <c r="C96" s="149">
        <f>'Inputs and eligible population'!H103</f>
        <v>0</v>
      </c>
      <c r="D96" s="128">
        <f t="shared" ref="D96:I96" si="44">(D70*$C$96)/60</f>
        <v>0</v>
      </c>
      <c r="E96" s="128">
        <f t="shared" si="44"/>
        <v>0</v>
      </c>
      <c r="F96" s="128">
        <f t="shared" si="44"/>
        <v>0</v>
      </c>
      <c r="G96" s="128">
        <f t="shared" si="44"/>
        <v>0</v>
      </c>
      <c r="H96" s="128">
        <f t="shared" si="44"/>
        <v>0</v>
      </c>
      <c r="I96" s="128">
        <f t="shared" si="44"/>
        <v>0</v>
      </c>
      <c r="J96" s="293"/>
      <c r="K96" s="293"/>
      <c r="L96" s="293"/>
      <c r="M96" s="293"/>
      <c r="N96" s="293"/>
      <c r="O96" s="293"/>
      <c r="P96" s="293"/>
      <c r="Q96" s="219"/>
      <c r="R96" s="133"/>
      <c r="S96" s="133"/>
      <c r="T96" s="133"/>
      <c r="U96" s="133"/>
      <c r="V96" s="133"/>
      <c r="W96" s="133"/>
      <c r="X96" s="133"/>
      <c r="Y96" s="133"/>
      <c r="Z96" s="133"/>
      <c r="AJ96" s="292"/>
      <c r="AK96" s="292"/>
      <c r="AL96" s="292"/>
      <c r="AM96" s="292"/>
      <c r="AN96" s="292"/>
    </row>
    <row r="97" spans="1:40" x14ac:dyDescent="0.25">
      <c r="A97" s="293"/>
      <c r="B97" s="358" t="s">
        <v>1259</v>
      </c>
      <c r="C97" s="149">
        <f>'Inputs and eligible population'!I103</f>
        <v>30</v>
      </c>
      <c r="D97" s="128">
        <f t="shared" ref="D97:I97" si="45">((D71+D72+D74)*$C$97)/60</f>
        <v>16286.167837111438</v>
      </c>
      <c r="E97" s="128">
        <f t="shared" si="45"/>
        <v>15613.184730405463</v>
      </c>
      <c r="F97" s="128">
        <f t="shared" si="45"/>
        <v>14060.278677134669</v>
      </c>
      <c r="G97" s="128">
        <f t="shared" si="45"/>
        <v>12432.286725992946</v>
      </c>
      <c r="H97" s="128">
        <f t="shared" si="45"/>
        <v>10771.594098869211</v>
      </c>
      <c r="I97" s="128">
        <f t="shared" si="45"/>
        <v>10786.381088111384</v>
      </c>
      <c r="J97" s="293"/>
      <c r="K97" s="293"/>
      <c r="L97" s="293"/>
      <c r="M97" s="293"/>
      <c r="N97" s="293"/>
      <c r="O97" s="293"/>
      <c r="P97" s="293"/>
      <c r="Q97" s="219"/>
      <c r="R97" s="133"/>
      <c r="S97" s="133"/>
      <c r="T97" s="133"/>
      <c r="U97" s="133"/>
      <c r="V97" s="133"/>
      <c r="W97" s="133"/>
      <c r="X97" s="133"/>
      <c r="Y97" s="133"/>
      <c r="Z97" s="133"/>
      <c r="AJ97" s="292"/>
      <c r="AK97" s="292"/>
      <c r="AL97" s="292"/>
      <c r="AM97" s="292"/>
      <c r="AN97" s="292"/>
    </row>
    <row r="98" spans="1:40" x14ac:dyDescent="0.25">
      <c r="A98" s="293"/>
      <c r="B98" s="358" t="s">
        <v>1250</v>
      </c>
      <c r="C98" s="149">
        <f>'Inputs and eligible population'!J103</f>
        <v>15</v>
      </c>
      <c r="D98" s="128">
        <f t="shared" ref="D98:I98" si="46">((D76+D75+D77)*$C$98)/60</f>
        <v>20330.923336130894</v>
      </c>
      <c r="E98" s="128">
        <f t="shared" si="46"/>
        <v>19198.30520738427</v>
      </c>
      <c r="F98" s="128">
        <f t="shared" si="46"/>
        <v>16462.044458940523</v>
      </c>
      <c r="G98" s="128">
        <f t="shared" si="46"/>
        <v>13643.988620082431</v>
      </c>
      <c r="H98" s="128">
        <f t="shared" si="46"/>
        <v>10841.738880383982</v>
      </c>
      <c r="I98" s="128">
        <f t="shared" si="46"/>
        <v>10367.313632841184</v>
      </c>
      <c r="J98" s="293"/>
      <c r="K98" s="293"/>
      <c r="L98" s="293"/>
      <c r="M98" s="293"/>
      <c r="N98" s="293"/>
      <c r="O98" s="293"/>
      <c r="P98" s="293"/>
      <c r="Q98" s="219"/>
      <c r="R98" s="133"/>
      <c r="S98" s="133"/>
      <c r="T98" s="133"/>
      <c r="U98" s="133"/>
      <c r="V98" s="133"/>
      <c r="W98" s="133"/>
      <c r="X98" s="133"/>
      <c r="Y98" s="133"/>
      <c r="Z98" s="133"/>
      <c r="AJ98" s="292"/>
      <c r="AK98" s="292"/>
      <c r="AL98" s="292"/>
      <c r="AM98" s="292"/>
      <c r="AN98" s="292"/>
    </row>
    <row r="99" spans="1:40" x14ac:dyDescent="0.25">
      <c r="A99" s="293"/>
      <c r="B99" s="289"/>
      <c r="C99" s="289"/>
      <c r="D99" s="187">
        <f t="shared" ref="D99:I99" si="47">SUM(D94:D98)</f>
        <v>41526.819740377541</v>
      </c>
      <c r="E99" s="187">
        <f t="shared" si="47"/>
        <v>42166.908087454183</v>
      </c>
      <c r="F99" s="187">
        <f t="shared" si="47"/>
        <v>45410.689001161678</v>
      </c>
      <c r="G99" s="187">
        <f t="shared" si="47"/>
        <v>50487.95959902586</v>
      </c>
      <c r="H99" s="187">
        <f t="shared" si="47"/>
        <v>55482.351320682967</v>
      </c>
      <c r="I99" s="187">
        <f t="shared" si="47"/>
        <v>58397.205539418719</v>
      </c>
      <c r="J99" s="293"/>
      <c r="K99" s="293"/>
      <c r="L99" s="293"/>
      <c r="M99" s="293"/>
      <c r="N99" s="293"/>
      <c r="O99" s="293"/>
      <c r="P99" s="293"/>
      <c r="Q99" s="219"/>
      <c r="S99" s="133"/>
      <c r="T99" s="133"/>
      <c r="U99" s="133"/>
      <c r="V99" s="133"/>
      <c r="W99" s="133"/>
      <c r="X99" s="133"/>
      <c r="Y99" s="133"/>
      <c r="Z99" s="133"/>
      <c r="AJ99" s="292"/>
      <c r="AK99" s="292"/>
      <c r="AL99" s="292"/>
      <c r="AM99" s="292"/>
      <c r="AN99" s="292"/>
    </row>
    <row r="100" spans="1:40" x14ac:dyDescent="0.25">
      <c r="A100" s="293"/>
      <c r="B100" s="289"/>
      <c r="C100" s="289"/>
      <c r="D100" s="291" t="s">
        <v>763</v>
      </c>
      <c r="E100" s="187">
        <f>E99-$D$99</f>
        <v>640.08834707664209</v>
      </c>
      <c r="F100" s="187">
        <f>F99-$D$99</f>
        <v>3883.8692607841367</v>
      </c>
      <c r="G100" s="187">
        <f>G99-$D$99</f>
        <v>8961.1398586483192</v>
      </c>
      <c r="H100" s="187">
        <f>H99-$D$99</f>
        <v>13955.531580305425</v>
      </c>
      <c r="I100" s="187">
        <f>I99-$D$99</f>
        <v>16870.385799041178</v>
      </c>
      <c r="J100" s="293"/>
      <c r="K100" s="293"/>
      <c r="L100" s="293"/>
      <c r="M100" s="293"/>
      <c r="N100" s="293"/>
      <c r="O100" s="293"/>
      <c r="P100" s="293"/>
      <c r="Q100" s="219"/>
      <c r="S100" s="133"/>
      <c r="T100" s="133"/>
      <c r="U100" s="133"/>
      <c r="V100" s="133"/>
      <c r="W100" s="133"/>
      <c r="X100" s="133"/>
      <c r="Y100" s="133"/>
      <c r="Z100" s="133"/>
      <c r="AJ100" s="292"/>
      <c r="AK100" s="292"/>
      <c r="AL100" s="292"/>
      <c r="AM100" s="292"/>
      <c r="AN100" s="292"/>
    </row>
    <row r="101" spans="1:40" x14ac:dyDescent="0.25">
      <c r="A101" s="293"/>
      <c r="B101" s="331"/>
      <c r="C101" s="219"/>
      <c r="D101" s="219"/>
      <c r="E101" s="219"/>
      <c r="F101" s="219"/>
      <c r="G101" s="219"/>
      <c r="H101" s="219"/>
      <c r="I101" s="219"/>
      <c r="J101" s="219"/>
      <c r="K101" s="219"/>
      <c r="L101" s="293"/>
      <c r="M101" s="293"/>
      <c r="N101" s="293"/>
      <c r="O101" s="293"/>
      <c r="P101" s="293"/>
      <c r="Q101" s="219"/>
      <c r="S101" s="133"/>
      <c r="T101" s="133"/>
      <c r="U101" s="133"/>
      <c r="V101" s="133"/>
      <c r="W101" s="133"/>
      <c r="X101" s="133"/>
      <c r="Y101" s="133"/>
      <c r="Z101" s="133"/>
      <c r="AJ101" s="292"/>
      <c r="AK101" s="292"/>
      <c r="AL101" s="292"/>
      <c r="AM101" s="292"/>
      <c r="AN101" s="292"/>
    </row>
    <row r="102" spans="1:40" x14ac:dyDescent="0.25">
      <c r="A102" s="293"/>
      <c r="B102" s="402" t="s">
        <v>183</v>
      </c>
      <c r="C102" s="401"/>
      <c r="D102" s="401"/>
      <c r="E102" s="401"/>
      <c r="F102" s="401"/>
      <c r="G102" s="401"/>
      <c r="H102" s="401"/>
      <c r="I102" s="218"/>
      <c r="J102" s="442"/>
      <c r="K102" s="219"/>
      <c r="L102" s="293"/>
      <c r="M102" s="293"/>
      <c r="N102" s="293"/>
      <c r="O102" s="293"/>
      <c r="P102" s="293"/>
      <c r="Q102" s="219"/>
      <c r="V102" s="133"/>
      <c r="AJ102" s="292"/>
      <c r="AK102" s="292"/>
      <c r="AL102" s="292"/>
      <c r="AM102" s="292"/>
      <c r="AN102" s="292"/>
    </row>
    <row r="103" spans="1:40" ht="60" x14ac:dyDescent="0.25">
      <c r="A103" s="293"/>
      <c r="B103" s="288" t="s">
        <v>131</v>
      </c>
      <c r="C103" s="166" t="s">
        <v>90</v>
      </c>
      <c r="D103" s="434" t="s">
        <v>743</v>
      </c>
      <c r="E103" s="261" t="s">
        <v>51</v>
      </c>
      <c r="F103" s="261" t="s">
        <v>52</v>
      </c>
      <c r="G103" s="165" t="s">
        <v>744</v>
      </c>
      <c r="H103" s="165" t="s">
        <v>745</v>
      </c>
      <c r="I103" s="261" t="s">
        <v>746</v>
      </c>
      <c r="J103" s="293"/>
      <c r="K103" s="293"/>
      <c r="L103" s="293"/>
      <c r="M103" s="293"/>
      <c r="N103" s="293"/>
      <c r="O103" s="293"/>
      <c r="P103" s="293"/>
      <c r="Q103" s="219"/>
      <c r="V103" s="133"/>
      <c r="AJ103" s="292"/>
      <c r="AK103" s="292"/>
      <c r="AL103" s="292"/>
      <c r="AM103" s="292"/>
      <c r="AN103" s="292"/>
    </row>
    <row r="104" spans="1:40" x14ac:dyDescent="0.25">
      <c r="A104" s="293"/>
      <c r="B104" s="358" t="s">
        <v>1247</v>
      </c>
      <c r="C104" s="149">
        <f>'Inputs and eligible population'!F104</f>
        <v>15</v>
      </c>
      <c r="D104" s="128">
        <f t="shared" ref="D104:I104" si="48">((D62+D63+D64+D65)*$C$104)/60</f>
        <v>0</v>
      </c>
      <c r="E104" s="128">
        <f t="shared" si="48"/>
        <v>1242.4577098884117</v>
      </c>
      <c r="F104" s="128">
        <f t="shared" si="48"/>
        <v>2916.4641137150475</v>
      </c>
      <c r="G104" s="128">
        <f t="shared" si="48"/>
        <v>4542.2272170377155</v>
      </c>
      <c r="H104" s="128">
        <f t="shared" si="48"/>
        <v>6182.3740415763332</v>
      </c>
      <c r="I104" s="128">
        <f t="shared" si="48"/>
        <v>6446.9730339558764</v>
      </c>
      <c r="J104" s="293"/>
      <c r="K104" s="293"/>
      <c r="L104" s="293"/>
      <c r="M104" s="293"/>
      <c r="N104" s="293"/>
      <c r="O104" s="293"/>
      <c r="P104" s="293"/>
      <c r="Q104" s="219"/>
      <c r="V104" s="133"/>
      <c r="AJ104" s="292"/>
      <c r="AK104" s="292"/>
      <c r="AL104" s="292"/>
      <c r="AM104" s="292"/>
      <c r="AN104" s="292"/>
    </row>
    <row r="105" spans="1:40" x14ac:dyDescent="0.25">
      <c r="A105" s="293"/>
      <c r="B105" s="358" t="s">
        <v>1249</v>
      </c>
      <c r="C105" s="149">
        <f>'Inputs and eligible population'!G104</f>
        <v>30</v>
      </c>
      <c r="D105" s="128">
        <f t="shared" ref="D105:I105" si="49">((D66+D67+D69+D68)*$C$105)/60</f>
        <v>4909.7285671352129</v>
      </c>
      <c r="E105" s="128">
        <f t="shared" si="49"/>
        <v>6112.9604397760404</v>
      </c>
      <c r="F105" s="128">
        <f t="shared" si="49"/>
        <v>11971.901751371437</v>
      </c>
      <c r="G105" s="128">
        <f t="shared" si="49"/>
        <v>19869.457035912765</v>
      </c>
      <c r="H105" s="128">
        <f t="shared" si="49"/>
        <v>27686.644299853437</v>
      </c>
      <c r="I105" s="128">
        <f t="shared" si="49"/>
        <v>30796.537784510274</v>
      </c>
      <c r="J105" s="293"/>
      <c r="K105" s="293"/>
      <c r="L105" s="293"/>
      <c r="M105" s="293"/>
      <c r="N105" s="293"/>
      <c r="O105" s="293"/>
      <c r="P105" s="293"/>
      <c r="Q105" s="219"/>
      <c r="V105" s="133"/>
      <c r="AJ105" s="292"/>
      <c r="AK105" s="292"/>
      <c r="AL105" s="292"/>
      <c r="AM105" s="292"/>
      <c r="AN105" s="292"/>
    </row>
    <row r="106" spans="1:40" x14ac:dyDescent="0.25">
      <c r="A106" s="293"/>
      <c r="B106" s="358" t="s">
        <v>1248</v>
      </c>
      <c r="C106" s="149">
        <f>'Inputs and eligible population'!H104</f>
        <v>0</v>
      </c>
      <c r="D106" s="128">
        <f t="shared" ref="D106:I106" si="50">(D70*$C$106)/60</f>
        <v>0</v>
      </c>
      <c r="E106" s="128">
        <f t="shared" si="50"/>
        <v>0</v>
      </c>
      <c r="F106" s="128">
        <f t="shared" si="50"/>
        <v>0</v>
      </c>
      <c r="G106" s="128">
        <f t="shared" si="50"/>
        <v>0</v>
      </c>
      <c r="H106" s="128">
        <f t="shared" si="50"/>
        <v>0</v>
      </c>
      <c r="I106" s="128">
        <f t="shared" si="50"/>
        <v>0</v>
      </c>
      <c r="J106" s="293"/>
      <c r="K106" s="293"/>
      <c r="L106" s="293"/>
      <c r="M106" s="293"/>
      <c r="N106" s="293"/>
      <c r="O106" s="293"/>
      <c r="P106" s="293"/>
      <c r="Q106" s="219"/>
      <c r="V106" s="133"/>
      <c r="AJ106" s="292"/>
      <c r="AK106" s="292"/>
      <c r="AL106" s="292"/>
      <c r="AM106" s="292"/>
      <c r="AN106" s="292"/>
    </row>
    <row r="107" spans="1:40" x14ac:dyDescent="0.25">
      <c r="A107" s="293"/>
      <c r="B107" s="358" t="s">
        <v>1259</v>
      </c>
      <c r="C107" s="149">
        <f>'Inputs and eligible population'!I104</f>
        <v>30</v>
      </c>
      <c r="D107" s="128">
        <f t="shared" ref="D107:I107" si="51">((D71+D72+D74)*$C$107)/60</f>
        <v>16286.167837111438</v>
      </c>
      <c r="E107" s="128">
        <f t="shared" si="51"/>
        <v>15613.184730405463</v>
      </c>
      <c r="F107" s="128">
        <f t="shared" si="51"/>
        <v>14060.278677134669</v>
      </c>
      <c r="G107" s="128">
        <f t="shared" si="51"/>
        <v>12432.286725992946</v>
      </c>
      <c r="H107" s="128">
        <f t="shared" si="51"/>
        <v>10771.594098869211</v>
      </c>
      <c r="I107" s="128">
        <f t="shared" si="51"/>
        <v>10786.381088111384</v>
      </c>
      <c r="J107" s="293"/>
      <c r="K107" s="293"/>
      <c r="L107" s="293"/>
      <c r="M107" s="293"/>
      <c r="N107" s="293"/>
      <c r="O107" s="293"/>
      <c r="P107" s="293"/>
      <c r="Q107" s="219"/>
      <c r="V107" s="133"/>
      <c r="AJ107" s="292"/>
      <c r="AK107" s="292"/>
      <c r="AL107" s="292"/>
      <c r="AM107" s="292"/>
      <c r="AN107" s="292"/>
    </row>
    <row r="108" spans="1:40" x14ac:dyDescent="0.25">
      <c r="A108" s="293"/>
      <c r="B108" s="358" t="s">
        <v>1250</v>
      </c>
      <c r="C108" s="149">
        <f>'Inputs and eligible population'!J104</f>
        <v>15</v>
      </c>
      <c r="D108" s="128">
        <f t="shared" ref="D108:I108" si="52">((D76+D75+D77)*$C$108)/60</f>
        <v>20330.923336130894</v>
      </c>
      <c r="E108" s="128">
        <f t="shared" si="52"/>
        <v>19198.30520738427</v>
      </c>
      <c r="F108" s="128">
        <f t="shared" si="52"/>
        <v>16462.044458940523</v>
      </c>
      <c r="G108" s="128">
        <f t="shared" si="52"/>
        <v>13643.988620082431</v>
      </c>
      <c r="H108" s="128">
        <f t="shared" si="52"/>
        <v>10841.738880383982</v>
      </c>
      <c r="I108" s="128">
        <f t="shared" si="52"/>
        <v>10367.313632841184</v>
      </c>
      <c r="J108" s="293"/>
      <c r="K108" s="293"/>
      <c r="L108" s="293"/>
      <c r="M108" s="293"/>
      <c r="N108" s="293"/>
      <c r="O108" s="293"/>
      <c r="P108" s="293"/>
      <c r="Q108" s="219"/>
      <c r="V108" s="133"/>
      <c r="AJ108" s="292"/>
      <c r="AK108" s="292"/>
      <c r="AL108" s="292"/>
      <c r="AM108" s="292"/>
      <c r="AN108" s="292"/>
    </row>
    <row r="109" spans="1:40" x14ac:dyDescent="0.25">
      <c r="A109" s="293"/>
      <c r="B109" s="289"/>
      <c r="C109" s="289"/>
      <c r="D109" s="187">
        <f t="shared" ref="D109:I109" si="53">SUM(D104:D108)</f>
        <v>41526.819740377541</v>
      </c>
      <c r="E109" s="187">
        <f t="shared" si="53"/>
        <v>42166.908087454183</v>
      </c>
      <c r="F109" s="187">
        <f t="shared" si="53"/>
        <v>45410.689001161678</v>
      </c>
      <c r="G109" s="187">
        <f t="shared" si="53"/>
        <v>50487.95959902586</v>
      </c>
      <c r="H109" s="187">
        <f t="shared" si="53"/>
        <v>55482.351320682967</v>
      </c>
      <c r="I109" s="187">
        <f t="shared" si="53"/>
        <v>58397.205539418719</v>
      </c>
      <c r="J109" s="293"/>
      <c r="K109" s="293"/>
      <c r="L109" s="293"/>
      <c r="M109" s="293"/>
      <c r="N109" s="293"/>
      <c r="O109" s="293"/>
      <c r="P109" s="293"/>
      <c r="Q109" s="219"/>
      <c r="R109" s="133"/>
      <c r="S109" s="133"/>
      <c r="T109" s="133"/>
      <c r="U109" s="133"/>
      <c r="V109" s="133"/>
      <c r="W109" s="133"/>
      <c r="X109" s="133"/>
      <c r="Y109" s="133"/>
      <c r="Z109" s="133"/>
      <c r="AJ109" s="292"/>
      <c r="AK109" s="292"/>
      <c r="AL109" s="292"/>
      <c r="AM109" s="292"/>
      <c r="AN109" s="292"/>
    </row>
    <row r="110" spans="1:40" x14ac:dyDescent="0.25">
      <c r="A110" s="293"/>
      <c r="B110" s="312"/>
      <c r="C110" s="289"/>
      <c r="D110" s="291" t="s">
        <v>764</v>
      </c>
      <c r="E110" s="187">
        <f>E109-$D$109</f>
        <v>640.08834707664209</v>
      </c>
      <c r="F110" s="187">
        <f>F109-$D$109</f>
        <v>3883.8692607841367</v>
      </c>
      <c r="G110" s="187">
        <f>G109-$D$109</f>
        <v>8961.1398586483192</v>
      </c>
      <c r="H110" s="187">
        <f>H109-$D$109</f>
        <v>13955.531580305425</v>
      </c>
      <c r="I110" s="187">
        <f>I109-$D$109</f>
        <v>16870.385799041178</v>
      </c>
      <c r="J110" s="293"/>
      <c r="K110" s="293"/>
      <c r="L110" s="293"/>
      <c r="M110" s="293"/>
      <c r="N110" s="293"/>
      <c r="O110" s="293"/>
      <c r="P110" s="293"/>
      <c r="Q110" s="219"/>
      <c r="R110" s="133"/>
      <c r="S110" s="133"/>
      <c r="T110" s="133"/>
      <c r="U110" s="133"/>
      <c r="V110" s="133"/>
      <c r="W110" s="133"/>
      <c r="X110" s="133"/>
      <c r="Y110" s="133"/>
      <c r="Z110" s="133"/>
      <c r="AJ110" s="292"/>
      <c r="AK110" s="292"/>
      <c r="AL110" s="292"/>
      <c r="AM110" s="292"/>
      <c r="AN110" s="292"/>
    </row>
    <row r="111" spans="1:40" x14ac:dyDescent="0.25">
      <c r="A111" s="293"/>
      <c r="B111" s="331"/>
      <c r="C111" s="219"/>
      <c r="D111" s="219"/>
      <c r="E111" s="219"/>
      <c r="F111" s="219"/>
      <c r="G111" s="219"/>
      <c r="H111" s="219"/>
      <c r="I111" s="219"/>
      <c r="J111" s="293"/>
      <c r="K111" s="293"/>
      <c r="L111" s="293"/>
      <c r="M111" s="293"/>
      <c r="N111" s="293"/>
      <c r="O111" s="293"/>
      <c r="P111" s="293"/>
      <c r="Q111" s="219"/>
      <c r="R111" s="133"/>
      <c r="S111" s="133"/>
      <c r="T111" s="133"/>
      <c r="U111" s="133"/>
      <c r="V111" s="133"/>
      <c r="W111" s="133"/>
      <c r="X111" s="133"/>
      <c r="Y111" s="133"/>
      <c r="Z111" s="133"/>
      <c r="AJ111" s="292"/>
      <c r="AK111" s="292"/>
      <c r="AL111" s="292"/>
      <c r="AM111" s="292"/>
      <c r="AN111" s="292"/>
    </row>
    <row r="112" spans="1:40" x14ac:dyDescent="0.25">
      <c r="A112" s="295"/>
      <c r="B112" s="332" t="s">
        <v>765</v>
      </c>
      <c r="C112" s="315"/>
      <c r="D112" s="314"/>
      <c r="E112" s="315"/>
      <c r="F112" s="316"/>
      <c r="G112" s="317"/>
      <c r="H112" s="317"/>
      <c r="I112" s="373"/>
      <c r="J112" s="295"/>
      <c r="K112" s="295"/>
      <c r="L112" s="295"/>
      <c r="M112" s="295"/>
      <c r="N112" s="295"/>
      <c r="O112" s="295"/>
      <c r="P112" s="295"/>
      <c r="Q112" s="295"/>
      <c r="R112" s="133"/>
      <c r="S112" s="133"/>
      <c r="T112" s="133"/>
      <c r="U112" s="133"/>
      <c r="V112" s="133"/>
      <c r="W112" s="133"/>
      <c r="X112" s="133"/>
      <c r="Y112" s="133"/>
      <c r="Z112" s="133"/>
      <c r="AJ112" s="292"/>
      <c r="AK112" s="292"/>
      <c r="AL112" s="292"/>
      <c r="AM112" s="292"/>
      <c r="AN112" s="292"/>
    </row>
    <row r="113" spans="1:40" hidden="1" x14ac:dyDescent="0.25">
      <c r="A113" s="295"/>
      <c r="B113" s="403" t="s">
        <v>766</v>
      </c>
      <c r="C113" s="404"/>
      <c r="D113" s="404"/>
      <c r="E113" s="404"/>
      <c r="F113" s="404"/>
      <c r="G113" s="404"/>
      <c r="H113" s="404"/>
      <c r="I113" s="222"/>
      <c r="J113" s="295"/>
      <c r="K113" s="295"/>
      <c r="L113" s="295"/>
      <c r="M113" s="295"/>
      <c r="N113" s="295"/>
      <c r="O113" s="295"/>
      <c r="P113" s="295"/>
      <c r="Q113" s="295"/>
      <c r="R113" s="133"/>
      <c r="S113" s="133"/>
      <c r="T113" s="133"/>
      <c r="U113" s="133"/>
      <c r="V113" s="133"/>
      <c r="W113" s="133"/>
      <c r="X113" s="133"/>
      <c r="Y113" s="133"/>
      <c r="Z113" s="133"/>
      <c r="AJ113" s="292"/>
      <c r="AK113" s="292"/>
      <c r="AL113" s="292"/>
      <c r="AM113" s="292"/>
      <c r="AN113" s="292"/>
    </row>
    <row r="114" spans="1:40" ht="75" hidden="1" x14ac:dyDescent="0.25">
      <c r="A114" s="295"/>
      <c r="B114" s="285" t="s">
        <v>131</v>
      </c>
      <c r="C114" s="166" t="s">
        <v>767</v>
      </c>
      <c r="D114" s="434" t="s">
        <v>743</v>
      </c>
      <c r="E114" s="261" t="s">
        <v>51</v>
      </c>
      <c r="F114" s="261" t="s">
        <v>52</v>
      </c>
      <c r="G114" s="165" t="s">
        <v>744</v>
      </c>
      <c r="H114" s="165" t="s">
        <v>745</v>
      </c>
      <c r="I114" s="261" t="s">
        <v>746</v>
      </c>
      <c r="J114" s="295"/>
      <c r="K114" s="295"/>
      <c r="L114" s="295"/>
      <c r="M114" s="295"/>
      <c r="N114" s="295"/>
      <c r="O114" s="295"/>
      <c r="P114" s="295"/>
      <c r="Q114" s="295"/>
      <c r="R114" s="133"/>
      <c r="S114" s="133"/>
      <c r="T114" s="133"/>
      <c r="U114" s="133"/>
      <c r="V114" s="133"/>
      <c r="W114" s="133"/>
      <c r="X114" s="133"/>
      <c r="Y114" s="133"/>
      <c r="Z114" s="133"/>
      <c r="AJ114" s="292"/>
      <c r="AK114" s="292"/>
      <c r="AL114" s="292"/>
      <c r="AM114" s="292"/>
      <c r="AN114" s="292"/>
    </row>
    <row r="115" spans="1:40" hidden="1" x14ac:dyDescent="0.25">
      <c r="A115" s="295"/>
      <c r="B115" s="358" t="s">
        <v>1181</v>
      </c>
      <c r="C115" s="149">
        <f>'Inputs and eligible population'!F105</f>
        <v>0</v>
      </c>
      <c r="D115" s="128" t="e">
        <f>D$7*'Inputs and eligible population'!#REF!*'Unit costs'!$O$9*'Capacity (local prices) 2nd'!$C117</f>
        <v>#REF!</v>
      </c>
      <c r="E115" s="128" t="e">
        <f>E$7*'Inputs and eligible population'!#REF!*'Unit costs'!$O$9*'Capacity (local prices) 2nd'!$C117</f>
        <v>#REF!</v>
      </c>
      <c r="F115" s="128" t="e">
        <f>F$7*'Inputs and eligible population'!#REF!*'Unit costs'!$O$9*'Capacity (local prices) 2nd'!$C117</f>
        <v>#REF!</v>
      </c>
      <c r="G115" s="128" t="e">
        <f>G$7*'Inputs and eligible population'!#REF!*'Unit costs'!$O$9*'Capacity (local prices) 2nd'!$C117</f>
        <v>#REF!</v>
      </c>
      <c r="H115" s="128" t="e">
        <f>H$7*'Inputs and eligible population'!#REF!*'Unit costs'!$O$9*'Capacity (local prices) 2nd'!$C117</f>
        <v>#REF!</v>
      </c>
      <c r="I115" s="128" t="e">
        <f>I$7*'Inputs and eligible population'!#REF!*'Unit costs'!$O$9*'Capacity (local prices) 2nd'!$C117</f>
        <v>#REF!</v>
      </c>
      <c r="J115" s="295"/>
      <c r="K115" s="295"/>
      <c r="L115" s="295"/>
      <c r="M115" s="295"/>
      <c r="N115" s="295"/>
      <c r="O115" s="295"/>
      <c r="P115" s="295"/>
      <c r="Q115" s="295"/>
      <c r="R115" s="133"/>
      <c r="S115" s="133"/>
      <c r="T115" s="133"/>
      <c r="U115" s="133"/>
      <c r="V115" s="133"/>
      <c r="W115" s="133"/>
      <c r="X115" s="133"/>
      <c r="Y115" s="133"/>
      <c r="Z115" s="133"/>
      <c r="AJ115" s="292"/>
      <c r="AK115" s="292"/>
      <c r="AL115" s="292"/>
      <c r="AM115" s="292"/>
      <c r="AN115" s="292"/>
    </row>
    <row r="116" spans="1:40" hidden="1" x14ac:dyDescent="0.25">
      <c r="A116" s="295"/>
      <c r="B116" s="358" t="s">
        <v>1182</v>
      </c>
      <c r="C116" s="149">
        <f>'Inputs and eligible population'!H105</f>
        <v>0</v>
      </c>
      <c r="D116" s="128" t="e">
        <f>D$7*'Inputs and eligible population'!#REF!*'Unit costs'!$O$14*'Capacity (local prices) 2nd'!$C118</f>
        <v>#REF!</v>
      </c>
      <c r="E116" s="128" t="e">
        <f>E$7*'Inputs and eligible population'!#REF!*'Unit costs'!$O$14*'Capacity (local prices) 2nd'!$C118</f>
        <v>#REF!</v>
      </c>
      <c r="F116" s="128" t="e">
        <f>F$7*'Inputs and eligible population'!#REF!*'Unit costs'!$O$14*'Capacity (local prices) 2nd'!$C118</f>
        <v>#REF!</v>
      </c>
      <c r="G116" s="128" t="e">
        <f>G$7*'Inputs and eligible population'!#REF!*'Unit costs'!$O$14*'Capacity (local prices) 2nd'!$C118</f>
        <v>#REF!</v>
      </c>
      <c r="H116" s="128" t="e">
        <f>H$7*'Inputs and eligible population'!#REF!*'Unit costs'!$O$14*'Capacity (local prices) 2nd'!$C118</f>
        <v>#REF!</v>
      </c>
      <c r="I116" s="128" t="e">
        <f>I$7*'Inputs and eligible population'!#REF!*'Unit costs'!$O$14*'Capacity (local prices) 2nd'!$C118</f>
        <v>#REF!</v>
      </c>
      <c r="J116" s="295"/>
      <c r="K116" s="295"/>
      <c r="L116" s="295"/>
      <c r="M116" s="295"/>
      <c r="N116" s="295"/>
      <c r="O116" s="295"/>
      <c r="P116" s="295"/>
      <c r="Q116" s="295"/>
      <c r="R116" s="133"/>
      <c r="S116" s="133"/>
      <c r="T116" s="133"/>
      <c r="U116" s="133"/>
      <c r="V116" s="133"/>
      <c r="W116" s="133"/>
      <c r="X116" s="133"/>
      <c r="Y116" s="133"/>
      <c r="Z116" s="133"/>
      <c r="AJ116" s="292"/>
      <c r="AK116" s="292"/>
      <c r="AL116" s="292"/>
      <c r="AM116" s="292"/>
      <c r="AN116" s="292"/>
    </row>
    <row r="117" spans="1:40" hidden="1" x14ac:dyDescent="0.25">
      <c r="A117" s="295"/>
      <c r="B117" s="358" t="s">
        <v>1183</v>
      </c>
      <c r="C117" s="149">
        <f>'Inputs and eligible population'!I105</f>
        <v>0</v>
      </c>
      <c r="D117" s="128" t="e">
        <f>D$7*'Inputs and eligible population'!#REF!*'Unit costs'!$O$36*'Capacity (local prices) 2nd'!$C119</f>
        <v>#REF!</v>
      </c>
      <c r="E117" s="128" t="e">
        <f>E$7*'Inputs and eligible population'!#REF!*'Unit costs'!$O$36*'Capacity (local prices) 2nd'!$C119</f>
        <v>#REF!</v>
      </c>
      <c r="F117" s="128" t="e">
        <f>F$7*'Inputs and eligible population'!#REF!*'Unit costs'!$O$36*'Capacity (local prices) 2nd'!$C119</f>
        <v>#REF!</v>
      </c>
      <c r="G117" s="128" t="e">
        <f>G$7*'Inputs and eligible population'!#REF!*'Unit costs'!$O$36*'Capacity (local prices) 2nd'!$C119</f>
        <v>#REF!</v>
      </c>
      <c r="H117" s="128" t="e">
        <f>H$7*'Inputs and eligible population'!#REF!*'Unit costs'!$O$36*'Capacity (local prices) 2nd'!$C119</f>
        <v>#REF!</v>
      </c>
      <c r="I117" s="128" t="e">
        <f>I$7*'Inputs and eligible population'!#REF!*'Unit costs'!$O$36*'Capacity (local prices) 2nd'!$C119</f>
        <v>#REF!</v>
      </c>
      <c r="J117" s="295"/>
      <c r="K117" s="295"/>
      <c r="L117" s="295"/>
      <c r="M117" s="295"/>
      <c r="N117" s="295"/>
      <c r="O117" s="295"/>
      <c r="P117" s="295"/>
      <c r="Q117" s="295"/>
      <c r="R117" s="133"/>
      <c r="S117" s="133"/>
      <c r="T117" s="133"/>
      <c r="U117" s="133"/>
      <c r="V117" s="133"/>
      <c r="W117" s="133"/>
      <c r="X117" s="133"/>
      <c r="Y117" s="133"/>
      <c r="Z117" s="133"/>
      <c r="AJ117" s="292"/>
      <c r="AK117" s="292"/>
      <c r="AL117" s="292"/>
      <c r="AM117" s="292"/>
      <c r="AN117" s="292"/>
    </row>
    <row r="118" spans="1:40" hidden="1" x14ac:dyDescent="0.25">
      <c r="A118" s="295"/>
      <c r="B118" s="289"/>
      <c r="C118" s="209"/>
      <c r="D118" s="187" t="e">
        <f t="shared" ref="D118:I118" si="54">SUM(D115:D117)</f>
        <v>#REF!</v>
      </c>
      <c r="E118" s="187" t="e">
        <f>SUM(E115:E117)</f>
        <v>#REF!</v>
      </c>
      <c r="F118" s="187" t="e">
        <f t="shared" si="54"/>
        <v>#REF!</v>
      </c>
      <c r="G118" s="187" t="e">
        <f t="shared" si="54"/>
        <v>#REF!</v>
      </c>
      <c r="H118" s="187" t="e">
        <f t="shared" si="54"/>
        <v>#REF!</v>
      </c>
      <c r="I118" s="187" t="e">
        <f t="shared" si="54"/>
        <v>#REF!</v>
      </c>
      <c r="J118" s="295"/>
      <c r="K118" s="295"/>
      <c r="L118" s="295"/>
      <c r="M118" s="295"/>
      <c r="N118" s="295"/>
      <c r="O118" s="295"/>
      <c r="P118" s="295"/>
      <c r="Q118" s="295"/>
      <c r="R118" s="133"/>
      <c r="S118" s="133"/>
      <c r="T118" s="133"/>
      <c r="U118" s="133"/>
      <c r="V118" s="133"/>
      <c r="W118" s="133"/>
      <c r="X118" s="133"/>
      <c r="Y118" s="133"/>
      <c r="Z118" s="133"/>
      <c r="AJ118" s="292"/>
      <c r="AK118" s="292"/>
      <c r="AL118" s="292"/>
      <c r="AM118" s="292"/>
      <c r="AN118" s="292"/>
    </row>
    <row r="119" spans="1:40" hidden="1" x14ac:dyDescent="0.25">
      <c r="A119" s="295"/>
      <c r="B119" s="312"/>
      <c r="C119" s="227"/>
      <c r="D119" s="291" t="s">
        <v>184</v>
      </c>
      <c r="E119" s="187" t="e">
        <f>E118-$D$118</f>
        <v>#REF!</v>
      </c>
      <c r="F119" s="187" t="e">
        <f>F118-$D$118</f>
        <v>#REF!</v>
      </c>
      <c r="G119" s="187" t="e">
        <f>G118-$D$118</f>
        <v>#REF!</v>
      </c>
      <c r="H119" s="187" t="e">
        <f>H118-$D$118</f>
        <v>#REF!</v>
      </c>
      <c r="I119" s="187" t="e">
        <f>I118-$D$118</f>
        <v>#REF!</v>
      </c>
      <c r="J119" s="295"/>
      <c r="K119" s="295"/>
      <c r="L119" s="295"/>
      <c r="M119" s="295"/>
      <c r="N119" s="295"/>
      <c r="O119" s="295"/>
      <c r="P119" s="295"/>
      <c r="Q119" s="295"/>
      <c r="R119" s="133"/>
      <c r="S119" s="133"/>
      <c r="T119" s="133"/>
      <c r="U119" s="133"/>
      <c r="V119" s="133"/>
      <c r="W119" s="133"/>
      <c r="X119" s="133"/>
      <c r="Y119" s="133"/>
      <c r="Z119" s="133"/>
      <c r="AJ119" s="292"/>
      <c r="AK119" s="292"/>
      <c r="AL119" s="292"/>
      <c r="AM119" s="292"/>
      <c r="AN119" s="292"/>
    </row>
    <row r="120" spans="1:40" hidden="1" x14ac:dyDescent="0.25">
      <c r="A120" s="295"/>
      <c r="B120" s="333"/>
      <c r="C120" s="404"/>
      <c r="D120" s="223"/>
      <c r="E120" s="223"/>
      <c r="F120" s="223"/>
      <c r="G120" s="223"/>
      <c r="H120" s="317"/>
      <c r="I120" s="317"/>
      <c r="J120" s="295"/>
      <c r="K120" s="295"/>
      <c r="L120" s="295"/>
      <c r="M120" s="295"/>
      <c r="N120" s="295"/>
      <c r="O120" s="295"/>
      <c r="P120" s="295"/>
      <c r="Q120" s="295"/>
      <c r="R120" s="133"/>
      <c r="S120" s="133"/>
      <c r="T120" s="133"/>
      <c r="U120" s="133"/>
      <c r="V120" s="133"/>
      <c r="W120" s="133"/>
      <c r="X120" s="133"/>
      <c r="Y120" s="133"/>
      <c r="Z120" s="133"/>
      <c r="AJ120" s="292"/>
      <c r="AK120" s="292"/>
      <c r="AL120" s="292"/>
      <c r="AM120" s="292"/>
      <c r="AN120" s="292"/>
    </row>
    <row r="121" spans="1:40" hidden="1" x14ac:dyDescent="0.25">
      <c r="A121" s="295"/>
      <c r="B121" s="403" t="s">
        <v>768</v>
      </c>
      <c r="C121" s="404"/>
      <c r="D121" s="404"/>
      <c r="E121" s="404"/>
      <c r="F121" s="404"/>
      <c r="G121" s="404"/>
      <c r="H121" s="404"/>
      <c r="I121" s="222"/>
      <c r="J121" s="295"/>
      <c r="K121" s="295"/>
      <c r="L121" s="295"/>
      <c r="M121" s="295"/>
      <c r="N121" s="295"/>
      <c r="O121" s="295"/>
      <c r="P121" s="295"/>
      <c r="Q121" s="295"/>
      <c r="R121" s="133"/>
      <c r="S121" s="133"/>
      <c r="T121" s="133"/>
      <c r="U121" s="133"/>
      <c r="V121" s="133"/>
      <c r="W121" s="133"/>
      <c r="X121" s="133"/>
      <c r="Y121" s="133"/>
      <c r="Z121" s="133"/>
      <c r="AJ121" s="292"/>
      <c r="AK121" s="292"/>
      <c r="AL121" s="292"/>
      <c r="AM121" s="292"/>
      <c r="AN121" s="292"/>
    </row>
    <row r="122" spans="1:40" ht="75" hidden="1" x14ac:dyDescent="0.25">
      <c r="A122" s="295"/>
      <c r="B122" s="285" t="s">
        <v>131</v>
      </c>
      <c r="C122" s="166" t="s">
        <v>769</v>
      </c>
      <c r="D122" s="434" t="s">
        <v>743</v>
      </c>
      <c r="E122" s="261" t="s">
        <v>51</v>
      </c>
      <c r="F122" s="261" t="s">
        <v>52</v>
      </c>
      <c r="G122" s="165" t="s">
        <v>744</v>
      </c>
      <c r="H122" s="165" t="s">
        <v>745</v>
      </c>
      <c r="I122" s="261" t="s">
        <v>746</v>
      </c>
      <c r="J122" s="295"/>
      <c r="K122" s="295"/>
      <c r="L122" s="295"/>
      <c r="M122" s="295"/>
      <c r="N122" s="295"/>
      <c r="O122" s="295"/>
      <c r="P122" s="295"/>
      <c r="Q122" s="295"/>
      <c r="R122" s="133"/>
      <c r="S122" s="133"/>
      <c r="T122" s="133"/>
      <c r="U122" s="133"/>
      <c r="V122" s="133"/>
      <c r="W122" s="133"/>
      <c r="X122" s="133"/>
      <c r="Y122" s="133"/>
      <c r="Z122" s="133"/>
      <c r="AJ122" s="292"/>
      <c r="AK122" s="292"/>
      <c r="AL122" s="292"/>
      <c r="AM122" s="292"/>
      <c r="AN122" s="292"/>
    </row>
    <row r="123" spans="1:40" hidden="1" x14ac:dyDescent="0.25">
      <c r="A123" s="295"/>
      <c r="B123" s="358" t="s">
        <v>1181</v>
      </c>
      <c r="C123" s="149">
        <f>'Inputs and eligible population'!F106</f>
        <v>0</v>
      </c>
      <c r="D123" s="128" t="e">
        <f>D$7*'Inputs and eligible population'!#REF!*'Unit costs'!$O$9*'Capacity (local prices) 2nd'!$C125</f>
        <v>#REF!</v>
      </c>
      <c r="E123" s="128" t="e">
        <f>E$7*'Inputs and eligible population'!#REF!*'Unit costs'!$O$9*'Capacity (local prices) 2nd'!$C125</f>
        <v>#REF!</v>
      </c>
      <c r="F123" s="128" t="e">
        <f>F$7*'Inputs and eligible population'!#REF!*'Unit costs'!$O$9*'Capacity (local prices) 2nd'!$C125</f>
        <v>#REF!</v>
      </c>
      <c r="G123" s="128" t="e">
        <f>G$7*'Inputs and eligible population'!#REF!*'Unit costs'!$O$9*'Capacity (local prices) 2nd'!$C125</f>
        <v>#REF!</v>
      </c>
      <c r="H123" s="128" t="e">
        <f>H$7*'Inputs and eligible population'!#REF!*'Unit costs'!$O$9*'Capacity (local prices) 2nd'!$C125</f>
        <v>#REF!</v>
      </c>
      <c r="I123" s="128" t="e">
        <f>I$7*'Inputs and eligible population'!#REF!*'Unit costs'!$O$9*'Capacity (local prices) 2nd'!$C125</f>
        <v>#REF!</v>
      </c>
      <c r="J123" s="295"/>
      <c r="K123" s="295"/>
      <c r="L123" s="223"/>
      <c r="M123" s="223"/>
      <c r="N123" s="295"/>
      <c r="O123" s="223"/>
      <c r="P123" s="223"/>
      <c r="Q123" s="223"/>
      <c r="R123" s="133"/>
      <c r="S123" s="133"/>
      <c r="T123" s="133"/>
      <c r="U123" s="133"/>
      <c r="V123" s="133"/>
      <c r="W123" s="133"/>
      <c r="X123" s="133"/>
      <c r="Y123" s="133"/>
      <c r="Z123" s="133"/>
      <c r="AJ123" s="292"/>
      <c r="AK123" s="292"/>
      <c r="AL123" s="292"/>
      <c r="AM123" s="292"/>
      <c r="AN123" s="292"/>
    </row>
    <row r="124" spans="1:40" hidden="1" x14ac:dyDescent="0.25">
      <c r="A124" s="295"/>
      <c r="B124" s="358" t="s">
        <v>1182</v>
      </c>
      <c r="C124" s="149">
        <f>'Inputs and eligible population'!H106</f>
        <v>0</v>
      </c>
      <c r="D124" s="128" t="e">
        <f>D$7*'Inputs and eligible population'!#REF!*'Unit costs'!$O$36*'Capacity (local prices) 2nd'!$C126</f>
        <v>#REF!</v>
      </c>
      <c r="E124" s="128" t="e">
        <f>E$7*'Inputs and eligible population'!#REF!*'Unit costs'!$O$36*'Capacity (local prices) 2nd'!$C126</f>
        <v>#REF!</v>
      </c>
      <c r="F124" s="128" t="e">
        <f>F$7*'Inputs and eligible population'!#REF!*'Unit costs'!$O$36*'Capacity (local prices) 2nd'!$C126</f>
        <v>#REF!</v>
      </c>
      <c r="G124" s="128" t="e">
        <f>G$7*'Inputs and eligible population'!#REF!*'Unit costs'!$O$36*'Capacity (local prices) 2nd'!$C126</f>
        <v>#REF!</v>
      </c>
      <c r="H124" s="128" t="e">
        <f>H$7*'Inputs and eligible population'!#REF!*'Unit costs'!$O$36*'Capacity (local prices) 2nd'!$C126</f>
        <v>#REF!</v>
      </c>
      <c r="I124" s="128" t="e">
        <f>I$7*'Inputs and eligible population'!#REF!*'Unit costs'!$O$36*'Capacity (local prices) 2nd'!$C126</f>
        <v>#REF!</v>
      </c>
      <c r="J124" s="295"/>
      <c r="K124" s="295"/>
      <c r="L124" s="223"/>
      <c r="M124" s="223"/>
      <c r="N124" s="295"/>
      <c r="O124" s="223"/>
      <c r="P124" s="223"/>
      <c r="Q124" s="223"/>
      <c r="R124" s="133"/>
      <c r="S124" s="133"/>
      <c r="T124" s="133"/>
      <c r="U124" s="133"/>
      <c r="V124" s="133"/>
      <c r="W124" s="133"/>
      <c r="X124" s="133"/>
      <c r="Y124" s="133"/>
      <c r="Z124" s="133"/>
      <c r="AJ124" s="292"/>
      <c r="AK124" s="292"/>
      <c r="AL124" s="292"/>
      <c r="AM124" s="292"/>
      <c r="AN124" s="292"/>
    </row>
    <row r="125" spans="1:40" hidden="1" x14ac:dyDescent="0.25">
      <c r="A125" s="295"/>
      <c r="B125" s="358" t="s">
        <v>1183</v>
      </c>
      <c r="C125" s="149">
        <f>'Inputs and eligible population'!I106</f>
        <v>0</v>
      </c>
      <c r="D125" s="128" t="e">
        <f>D$7*'Inputs and eligible population'!#REF!*'Unit costs'!$O$44*'Capacity (local prices) 2nd'!$C127</f>
        <v>#REF!</v>
      </c>
      <c r="E125" s="128" t="e">
        <f>E$7*'Inputs and eligible population'!#REF!*'Unit costs'!$O$44*'Capacity (local prices) 2nd'!$C127</f>
        <v>#REF!</v>
      </c>
      <c r="F125" s="128" t="e">
        <f>F$7*'Inputs and eligible population'!#REF!*'Unit costs'!$O$44*'Capacity (local prices) 2nd'!$C127</f>
        <v>#REF!</v>
      </c>
      <c r="G125" s="128" t="e">
        <f>G$7*'Inputs and eligible population'!#REF!*'Unit costs'!$O$44*'Capacity (local prices) 2nd'!$C127</f>
        <v>#REF!</v>
      </c>
      <c r="H125" s="128" t="e">
        <f>H$7*'Inputs and eligible population'!#REF!*'Unit costs'!$O$44*'Capacity (local prices) 2nd'!$C127</f>
        <v>#REF!</v>
      </c>
      <c r="I125" s="128" t="e">
        <f>I$7*'Inputs and eligible population'!#REF!*'Unit costs'!$O$44*'Capacity (local prices) 2nd'!$C127</f>
        <v>#REF!</v>
      </c>
      <c r="J125" s="295"/>
      <c r="K125" s="295"/>
      <c r="L125" s="223"/>
      <c r="M125" s="223"/>
      <c r="N125" s="295"/>
      <c r="O125" s="223"/>
      <c r="P125" s="223"/>
      <c r="Q125" s="223"/>
      <c r="R125" s="133"/>
      <c r="S125" s="133"/>
      <c r="T125" s="133"/>
      <c r="U125" s="133"/>
      <c r="V125" s="133"/>
      <c r="W125" s="133"/>
      <c r="X125" s="133"/>
      <c r="Y125" s="133"/>
      <c r="Z125" s="133"/>
      <c r="AJ125" s="292"/>
      <c r="AK125" s="292"/>
      <c r="AL125" s="292"/>
      <c r="AM125" s="292"/>
      <c r="AN125" s="292"/>
    </row>
    <row r="126" spans="1:40" hidden="1" x14ac:dyDescent="0.25">
      <c r="A126" s="295"/>
      <c r="B126" s="289"/>
      <c r="C126" s="209"/>
      <c r="D126" s="187" t="e">
        <f t="shared" ref="D126:I126" si="55">SUM(D123:D125)</f>
        <v>#REF!</v>
      </c>
      <c r="E126" s="187" t="e">
        <f t="shared" si="55"/>
        <v>#REF!</v>
      </c>
      <c r="F126" s="187" t="e">
        <f t="shared" si="55"/>
        <v>#REF!</v>
      </c>
      <c r="G126" s="187" t="e">
        <f t="shared" si="55"/>
        <v>#REF!</v>
      </c>
      <c r="H126" s="187" t="e">
        <f t="shared" si="55"/>
        <v>#REF!</v>
      </c>
      <c r="I126" s="187" t="e">
        <f t="shared" si="55"/>
        <v>#REF!</v>
      </c>
      <c r="J126" s="295"/>
      <c r="K126" s="295"/>
      <c r="L126" s="223"/>
      <c r="M126" s="223"/>
      <c r="N126" s="295"/>
      <c r="O126" s="223"/>
      <c r="P126" s="223"/>
      <c r="Q126" s="223"/>
      <c r="V126" s="133"/>
    </row>
    <row r="127" spans="1:40" hidden="1" x14ac:dyDescent="0.25">
      <c r="A127" s="295"/>
      <c r="B127" s="312"/>
      <c r="C127" s="227"/>
      <c r="D127" s="291" t="s">
        <v>185</v>
      </c>
      <c r="E127" s="187" t="e">
        <f>E126-$D$126</f>
        <v>#REF!</v>
      </c>
      <c r="F127" s="187" t="e">
        <f>F126-$D$126</f>
        <v>#REF!</v>
      </c>
      <c r="G127" s="187" t="e">
        <f>G126-$D$126</f>
        <v>#REF!</v>
      </c>
      <c r="H127" s="187" t="e">
        <f>H126-$D$126</f>
        <v>#REF!</v>
      </c>
      <c r="I127" s="187" t="e">
        <f>I126-$D$126</f>
        <v>#REF!</v>
      </c>
      <c r="J127" s="295"/>
      <c r="K127" s="295"/>
      <c r="L127" s="223"/>
      <c r="M127" s="223"/>
      <c r="N127" s="295"/>
      <c r="O127" s="223"/>
      <c r="P127" s="223"/>
      <c r="Q127" s="223"/>
      <c r="V127" s="133"/>
    </row>
    <row r="128" spans="1:40" hidden="1" x14ac:dyDescent="0.25">
      <c r="A128" s="295"/>
      <c r="B128" s="333"/>
      <c r="C128" s="404"/>
      <c r="D128" s="223"/>
      <c r="E128" s="223"/>
      <c r="F128" s="223"/>
      <c r="G128" s="223"/>
      <c r="H128" s="317"/>
      <c r="I128" s="317"/>
      <c r="J128" s="295"/>
      <c r="K128" s="295"/>
      <c r="L128" s="223"/>
      <c r="M128" s="223"/>
      <c r="N128" s="295"/>
      <c r="O128" s="223"/>
      <c r="P128" s="223"/>
      <c r="Q128" s="223"/>
      <c r="V128" s="133"/>
    </row>
    <row r="129" spans="1:22" hidden="1" x14ac:dyDescent="0.25">
      <c r="A129" s="295"/>
      <c r="B129" s="403" t="s">
        <v>770</v>
      </c>
      <c r="C129" s="404"/>
      <c r="D129" s="404"/>
      <c r="E129" s="404"/>
      <c r="F129" s="404"/>
      <c r="G129" s="404"/>
      <c r="H129" s="404"/>
      <c r="I129" s="222"/>
      <c r="J129" s="295"/>
      <c r="K129" s="295"/>
      <c r="L129" s="223"/>
      <c r="M129" s="223"/>
      <c r="N129" s="295"/>
      <c r="O129" s="223"/>
      <c r="P129" s="223"/>
      <c r="Q129" s="223"/>
      <c r="V129" s="133"/>
    </row>
    <row r="130" spans="1:22" ht="75" hidden="1" x14ac:dyDescent="0.25">
      <c r="A130" s="295"/>
      <c r="B130" s="285" t="s">
        <v>131</v>
      </c>
      <c r="C130" s="166" t="s">
        <v>771</v>
      </c>
      <c r="D130" s="434" t="s">
        <v>743</v>
      </c>
      <c r="E130" s="261" t="s">
        <v>51</v>
      </c>
      <c r="F130" s="261" t="s">
        <v>52</v>
      </c>
      <c r="G130" s="165" t="s">
        <v>744</v>
      </c>
      <c r="H130" s="165" t="s">
        <v>745</v>
      </c>
      <c r="I130" s="261" t="s">
        <v>746</v>
      </c>
      <c r="J130" s="295"/>
      <c r="K130" s="295"/>
      <c r="L130" s="223"/>
      <c r="M130" s="223"/>
      <c r="N130" s="295"/>
      <c r="O130" s="223"/>
      <c r="P130" s="223"/>
      <c r="Q130" s="223"/>
      <c r="V130" s="133"/>
    </row>
    <row r="131" spans="1:22" hidden="1" x14ac:dyDescent="0.25">
      <c r="A131" s="295"/>
      <c r="B131" s="358" t="s">
        <v>1181</v>
      </c>
      <c r="C131" s="149">
        <f>'Inputs and eligible population'!F107</f>
        <v>0</v>
      </c>
      <c r="D131" s="128" t="e">
        <f>(D$7*'Inputs and eligible population'!#REF!*'Unit costs'!$O$9*'Capacity (local prices) 2nd'!$C133)/60</f>
        <v>#REF!</v>
      </c>
      <c r="E131" s="128" t="e">
        <f>(E$7*'Inputs and eligible population'!#REF!*'Unit costs'!$O$9*'Capacity (local prices) 2nd'!$C133)/60</f>
        <v>#REF!</v>
      </c>
      <c r="F131" s="128" t="e">
        <f>(F$7*'Inputs and eligible population'!#REF!*'Unit costs'!$O$9*'Capacity (local prices) 2nd'!$C133)/60</f>
        <v>#REF!</v>
      </c>
      <c r="G131" s="128" t="e">
        <f>(G$7*'Inputs and eligible population'!#REF!*'Unit costs'!$O$9*'Capacity (local prices) 2nd'!$C133)/60</f>
        <v>#REF!</v>
      </c>
      <c r="H131" s="128" t="e">
        <f>(H$7*'Inputs and eligible population'!#REF!*'Unit costs'!$O$9*'Capacity (local prices) 2nd'!$C133)/60</f>
        <v>#REF!</v>
      </c>
      <c r="I131" s="128" t="e">
        <f>(I$7*'Inputs and eligible population'!#REF!*'Unit costs'!$O$9*'Capacity (local prices) 2nd'!$C133)/60</f>
        <v>#REF!</v>
      </c>
      <c r="J131" s="295"/>
      <c r="K131" s="295"/>
      <c r="L131" s="223"/>
      <c r="M131" s="223"/>
      <c r="N131" s="295"/>
      <c r="O131" s="223"/>
      <c r="P131" s="223"/>
      <c r="Q131" s="223"/>
      <c r="V131" s="133"/>
    </row>
    <row r="132" spans="1:22" hidden="1" x14ac:dyDescent="0.25">
      <c r="A132" s="295"/>
      <c r="B132" s="358" t="s">
        <v>1182</v>
      </c>
      <c r="C132" s="149">
        <f>'Inputs and eligible population'!H107</f>
        <v>0</v>
      </c>
      <c r="D132" s="128" t="e">
        <f>(D$7*'Inputs and eligible population'!#REF!*'Unit costs'!$O$36*'Capacity (local prices) 2nd'!$C134)/60</f>
        <v>#REF!</v>
      </c>
      <c r="E132" s="128" t="e">
        <f>(E$7*'Inputs and eligible population'!#REF!*'Unit costs'!$O$36*'Capacity (local prices) 2nd'!$C134)/60</f>
        <v>#REF!</v>
      </c>
      <c r="F132" s="128" t="e">
        <f>(F$7*'Inputs and eligible population'!#REF!*'Unit costs'!$O$36*'Capacity (local prices) 2nd'!$C134)/60</f>
        <v>#REF!</v>
      </c>
      <c r="G132" s="128" t="e">
        <f>(G$7*'Inputs and eligible population'!#REF!*'Unit costs'!$O$36*'Capacity (local prices) 2nd'!$C134)/60</f>
        <v>#REF!</v>
      </c>
      <c r="H132" s="128" t="e">
        <f>(H$7*'Inputs and eligible population'!#REF!*'Unit costs'!$O$36*'Capacity (local prices) 2nd'!$C134)/60</f>
        <v>#REF!</v>
      </c>
      <c r="I132" s="128" t="e">
        <f>(I$7*'Inputs and eligible population'!#REF!*'Unit costs'!$O$36*'Capacity (local prices) 2nd'!$C134)/60</f>
        <v>#REF!</v>
      </c>
      <c r="J132" s="295"/>
      <c r="K132" s="295"/>
      <c r="L132" s="223"/>
      <c r="M132" s="223"/>
      <c r="N132" s="295"/>
      <c r="O132" s="223"/>
      <c r="P132" s="223"/>
      <c r="Q132" s="223"/>
      <c r="V132" s="133"/>
    </row>
    <row r="133" spans="1:22" hidden="1" x14ac:dyDescent="0.25">
      <c r="A133" s="295"/>
      <c r="B133" s="358" t="s">
        <v>1183</v>
      </c>
      <c r="C133" s="149">
        <f>'Inputs and eligible population'!I107</f>
        <v>0</v>
      </c>
      <c r="D133" s="128" t="e">
        <f>(D$7*'Inputs and eligible population'!#REF!*'Unit costs'!$O$44*'Capacity (local prices) 2nd'!$C135)/60</f>
        <v>#REF!</v>
      </c>
      <c r="E133" s="128" t="e">
        <f>(E$7*'Inputs and eligible population'!#REF!*'Unit costs'!$O$44*'Capacity (local prices) 2nd'!$C135)/60</f>
        <v>#REF!</v>
      </c>
      <c r="F133" s="128" t="e">
        <f>(F$7*'Inputs and eligible population'!#REF!*'Unit costs'!$O$44*'Capacity (local prices) 2nd'!$C135)/60</f>
        <v>#REF!</v>
      </c>
      <c r="G133" s="128" t="e">
        <f>(G$7*'Inputs and eligible population'!#REF!*'Unit costs'!$O$44*'Capacity (local prices) 2nd'!$C135)/60</f>
        <v>#REF!</v>
      </c>
      <c r="H133" s="128" t="e">
        <f>(H$7*'Inputs and eligible population'!#REF!*'Unit costs'!$O$44*'Capacity (local prices) 2nd'!$C135)/60</f>
        <v>#REF!</v>
      </c>
      <c r="I133" s="128" t="e">
        <f>(I$7*'Inputs and eligible population'!#REF!*'Unit costs'!$O$44*'Capacity (local prices) 2nd'!$C135)/60</f>
        <v>#REF!</v>
      </c>
      <c r="J133" s="295"/>
      <c r="K133" s="295"/>
      <c r="L133" s="223"/>
      <c r="M133" s="223"/>
      <c r="N133" s="295"/>
      <c r="O133" s="223"/>
      <c r="P133" s="223"/>
      <c r="Q133" s="223"/>
      <c r="V133" s="133"/>
    </row>
    <row r="134" spans="1:22" hidden="1" x14ac:dyDescent="0.25">
      <c r="A134" s="295"/>
      <c r="B134" s="289"/>
      <c r="C134" s="209"/>
      <c r="D134" s="187" t="e">
        <f t="shared" ref="D134:I134" si="56">SUM(D131:D133)</f>
        <v>#REF!</v>
      </c>
      <c r="E134" s="187" t="e">
        <f t="shared" si="56"/>
        <v>#REF!</v>
      </c>
      <c r="F134" s="187" t="e">
        <f t="shared" si="56"/>
        <v>#REF!</v>
      </c>
      <c r="G134" s="187" t="e">
        <f t="shared" si="56"/>
        <v>#REF!</v>
      </c>
      <c r="H134" s="187" t="e">
        <f t="shared" si="56"/>
        <v>#REF!</v>
      </c>
      <c r="I134" s="187" t="e">
        <f t="shared" si="56"/>
        <v>#REF!</v>
      </c>
      <c r="J134" s="295"/>
      <c r="K134" s="295"/>
      <c r="L134" s="223"/>
      <c r="M134" s="223"/>
      <c r="N134" s="295"/>
      <c r="O134" s="223"/>
      <c r="P134" s="223"/>
      <c r="Q134" s="223"/>
      <c r="V134" s="133"/>
    </row>
    <row r="135" spans="1:22" hidden="1" x14ac:dyDescent="0.25">
      <c r="A135" s="295"/>
      <c r="B135" s="312"/>
      <c r="C135" s="227"/>
      <c r="D135" s="291" t="s">
        <v>186</v>
      </c>
      <c r="E135" s="187" t="e">
        <f>E134-$D$134</f>
        <v>#REF!</v>
      </c>
      <c r="F135" s="187" t="e">
        <f>F134-$D$134</f>
        <v>#REF!</v>
      </c>
      <c r="G135" s="187" t="e">
        <f>G134-$D$134</f>
        <v>#REF!</v>
      </c>
      <c r="H135" s="187" t="e">
        <f>H134-$D$134</f>
        <v>#REF!</v>
      </c>
      <c r="I135" s="187" t="e">
        <f>I134-$D$134</f>
        <v>#REF!</v>
      </c>
      <c r="J135" s="295"/>
      <c r="K135" s="295"/>
      <c r="L135" s="223"/>
      <c r="M135" s="223"/>
      <c r="N135" s="295"/>
      <c r="O135" s="223"/>
      <c r="P135" s="223"/>
      <c r="Q135" s="223"/>
      <c r="V135" s="133"/>
    </row>
    <row r="136" spans="1:22" hidden="1" x14ac:dyDescent="0.25">
      <c r="A136" s="295"/>
      <c r="B136" s="333"/>
      <c r="C136" s="404"/>
      <c r="D136" s="223"/>
      <c r="E136" s="223"/>
      <c r="F136" s="223"/>
      <c r="G136" s="223"/>
      <c r="H136" s="317"/>
      <c r="I136" s="317"/>
      <c r="J136" s="295"/>
      <c r="K136" s="295"/>
      <c r="L136" s="223"/>
      <c r="M136" s="223"/>
      <c r="N136" s="295"/>
      <c r="O136" s="223"/>
      <c r="P136" s="223"/>
      <c r="Q136" s="223"/>
      <c r="V136" s="133"/>
    </row>
    <row r="137" spans="1:22" hidden="1" x14ac:dyDescent="0.25">
      <c r="A137" s="295"/>
      <c r="B137" s="403" t="s">
        <v>772</v>
      </c>
      <c r="C137" s="404"/>
      <c r="D137" s="404"/>
      <c r="E137" s="404"/>
      <c r="F137" s="404"/>
      <c r="G137" s="404"/>
      <c r="H137" s="404"/>
      <c r="I137" s="222"/>
      <c r="J137" s="295"/>
      <c r="K137" s="295"/>
      <c r="L137" s="223"/>
      <c r="M137" s="223"/>
      <c r="N137" s="295"/>
      <c r="O137" s="223"/>
      <c r="P137" s="223"/>
      <c r="Q137" s="223"/>
      <c r="V137" s="133"/>
    </row>
    <row r="138" spans="1:22" ht="75" hidden="1" x14ac:dyDescent="0.25">
      <c r="A138" s="295"/>
      <c r="B138" s="285" t="s">
        <v>131</v>
      </c>
      <c r="C138" s="166" t="s">
        <v>773</v>
      </c>
      <c r="D138" s="434" t="s">
        <v>743</v>
      </c>
      <c r="E138" s="261" t="s">
        <v>51</v>
      </c>
      <c r="F138" s="261" t="s">
        <v>52</v>
      </c>
      <c r="G138" s="165" t="s">
        <v>744</v>
      </c>
      <c r="H138" s="165" t="s">
        <v>745</v>
      </c>
      <c r="I138" s="261" t="s">
        <v>746</v>
      </c>
      <c r="J138" s="295"/>
      <c r="K138" s="295"/>
      <c r="L138" s="223"/>
      <c r="M138" s="223"/>
      <c r="N138" s="295"/>
      <c r="O138" s="223"/>
      <c r="P138" s="223"/>
      <c r="Q138" s="223"/>
      <c r="V138" s="133"/>
    </row>
    <row r="139" spans="1:22" hidden="1" x14ac:dyDescent="0.25">
      <c r="A139" s="295"/>
      <c r="B139" s="358" t="s">
        <v>1181</v>
      </c>
      <c r="C139" s="149">
        <f>'Inputs and eligible population'!F108</f>
        <v>0</v>
      </c>
      <c r="D139" s="128" t="e">
        <f>(D$7*'Inputs and eligible population'!#REF!*'Unit costs'!$O$9*'Capacity (local prices) 2nd'!$C141)/60</f>
        <v>#REF!</v>
      </c>
      <c r="E139" s="128" t="e">
        <f>(E$7*'Inputs and eligible population'!#REF!*'Unit costs'!$O$9*'Capacity (local prices) 2nd'!$C141)/60</f>
        <v>#REF!</v>
      </c>
      <c r="F139" s="128" t="e">
        <f>(F$7*'Inputs and eligible population'!#REF!*'Unit costs'!$O$9*'Capacity (local prices) 2nd'!$C141)/60</f>
        <v>#REF!</v>
      </c>
      <c r="G139" s="128" t="e">
        <f>(G$7*'Inputs and eligible population'!#REF!*'Unit costs'!$O$9*'Capacity (local prices) 2nd'!$C141)/60</f>
        <v>#REF!</v>
      </c>
      <c r="H139" s="128" t="e">
        <f>(H$7*'Inputs and eligible population'!#REF!*'Unit costs'!$O$9*'Capacity (local prices) 2nd'!$C141)/60</f>
        <v>#REF!</v>
      </c>
      <c r="I139" s="128" t="e">
        <f>(I$7*'Inputs and eligible population'!#REF!*'Unit costs'!$O$9*'Capacity (local prices) 2nd'!$C141)/60</f>
        <v>#REF!</v>
      </c>
      <c r="J139" s="295"/>
      <c r="K139" s="295"/>
      <c r="L139" s="223"/>
      <c r="M139" s="223"/>
      <c r="N139" s="295"/>
      <c r="O139" s="223"/>
      <c r="P139" s="223"/>
      <c r="Q139" s="223"/>
      <c r="V139" s="133"/>
    </row>
    <row r="140" spans="1:22" hidden="1" x14ac:dyDescent="0.25">
      <c r="A140" s="295"/>
      <c r="B140" s="358" t="s">
        <v>1182</v>
      </c>
      <c r="C140" s="149">
        <f>'Inputs and eligible population'!H108</f>
        <v>0</v>
      </c>
      <c r="D140" s="128" t="e">
        <f>(D$7*'Inputs and eligible population'!#REF!*'Unit costs'!$O$36*'Capacity (local prices) 2nd'!$C142)/60</f>
        <v>#REF!</v>
      </c>
      <c r="E140" s="128" t="e">
        <f>(E$7*'Inputs and eligible population'!#REF!*'Unit costs'!$O$36*'Capacity (local prices) 2nd'!$C142)/60</f>
        <v>#REF!</v>
      </c>
      <c r="F140" s="128" t="e">
        <f>(F$7*'Inputs and eligible population'!#REF!*'Unit costs'!$O$36*'Capacity (local prices) 2nd'!$C142)/60</f>
        <v>#REF!</v>
      </c>
      <c r="G140" s="128" t="e">
        <f>(G$7*'Inputs and eligible population'!#REF!*'Unit costs'!$O$36*'Capacity (local prices) 2nd'!$C142)/60</f>
        <v>#REF!</v>
      </c>
      <c r="H140" s="128" t="e">
        <f>(H$7*'Inputs and eligible population'!#REF!*'Unit costs'!$O$36*'Capacity (local prices) 2nd'!$C142)/60</f>
        <v>#REF!</v>
      </c>
      <c r="I140" s="128" t="e">
        <f>(I$7*'Inputs and eligible population'!#REF!*'Unit costs'!$O$36*'Capacity (local prices) 2nd'!$C142)/60</f>
        <v>#REF!</v>
      </c>
      <c r="J140" s="295"/>
      <c r="K140" s="295"/>
      <c r="L140" s="223"/>
      <c r="M140" s="223"/>
      <c r="N140" s="295"/>
      <c r="O140" s="223"/>
      <c r="P140" s="223"/>
      <c r="Q140" s="223"/>
      <c r="V140" s="133"/>
    </row>
    <row r="141" spans="1:22" hidden="1" x14ac:dyDescent="0.25">
      <c r="A141" s="295"/>
      <c r="B141" s="358" t="s">
        <v>1183</v>
      </c>
      <c r="C141" s="149">
        <f>'Inputs and eligible population'!I108</f>
        <v>0</v>
      </c>
      <c r="D141" s="128" t="e">
        <f>(D$7*'Inputs and eligible population'!#REF!*'Unit costs'!$O$44*'Capacity (local prices) 2nd'!$C143)/60</f>
        <v>#REF!</v>
      </c>
      <c r="E141" s="128" t="e">
        <f>(E$7*'Inputs and eligible population'!#REF!*'Unit costs'!$O$44*'Capacity (local prices) 2nd'!$C143)/60</f>
        <v>#REF!</v>
      </c>
      <c r="F141" s="128" t="e">
        <f>(F$7*'Inputs and eligible population'!#REF!*'Unit costs'!$O$44*'Capacity (local prices) 2nd'!$C143)/60</f>
        <v>#REF!</v>
      </c>
      <c r="G141" s="128" t="e">
        <f>(G$7*'Inputs and eligible population'!#REF!*'Unit costs'!$O$44*'Capacity (local prices) 2nd'!$C143)/60</f>
        <v>#REF!</v>
      </c>
      <c r="H141" s="128" t="e">
        <f>(H$7*'Inputs and eligible population'!#REF!*'Unit costs'!$O$44*'Capacity (local prices) 2nd'!$C143)/60</f>
        <v>#REF!</v>
      </c>
      <c r="I141" s="128" t="e">
        <f>(I$7*'Inputs and eligible population'!#REF!*'Unit costs'!$O$44*'Capacity (local prices) 2nd'!$C143)/60</f>
        <v>#REF!</v>
      </c>
      <c r="J141" s="295"/>
      <c r="K141" s="295"/>
      <c r="L141" s="223"/>
      <c r="M141" s="223"/>
      <c r="N141" s="295"/>
      <c r="O141" s="223"/>
      <c r="P141" s="223"/>
      <c r="Q141" s="223"/>
      <c r="V141" s="133"/>
    </row>
    <row r="142" spans="1:22" hidden="1" x14ac:dyDescent="0.25">
      <c r="A142" s="295"/>
      <c r="B142" s="289"/>
      <c r="C142" s="209"/>
      <c r="D142" s="187" t="e">
        <f t="shared" ref="D142:I142" si="57">SUM(D139:D141)</f>
        <v>#REF!</v>
      </c>
      <c r="E142" s="187" t="e">
        <f t="shared" si="57"/>
        <v>#REF!</v>
      </c>
      <c r="F142" s="187" t="e">
        <f t="shared" si="57"/>
        <v>#REF!</v>
      </c>
      <c r="G142" s="187" t="e">
        <f t="shared" si="57"/>
        <v>#REF!</v>
      </c>
      <c r="H142" s="187" t="e">
        <f t="shared" si="57"/>
        <v>#REF!</v>
      </c>
      <c r="I142" s="187" t="e">
        <f t="shared" si="57"/>
        <v>#REF!</v>
      </c>
      <c r="J142" s="295"/>
      <c r="K142" s="295"/>
      <c r="L142" s="223"/>
      <c r="M142" s="223"/>
      <c r="N142" s="295"/>
      <c r="O142" s="223"/>
      <c r="P142" s="223"/>
      <c r="Q142" s="223"/>
      <c r="V142" s="133"/>
    </row>
    <row r="143" spans="1:22" hidden="1" x14ac:dyDescent="0.25">
      <c r="A143" s="295"/>
      <c r="B143" s="312"/>
      <c r="C143" s="227"/>
      <c r="D143" s="291" t="s">
        <v>187</v>
      </c>
      <c r="E143" s="187" t="e">
        <f>E142-$D$142</f>
        <v>#REF!</v>
      </c>
      <c r="F143" s="187" t="e">
        <f>F142-$D$142</f>
        <v>#REF!</v>
      </c>
      <c r="G143" s="187" t="e">
        <f>G142-$D$142</f>
        <v>#REF!</v>
      </c>
      <c r="H143" s="187" t="e">
        <f>H142-$D$142</f>
        <v>#REF!</v>
      </c>
      <c r="I143" s="187" t="e">
        <f>I142-$D$142</f>
        <v>#REF!</v>
      </c>
      <c r="J143" s="295"/>
      <c r="K143" s="295"/>
      <c r="L143" s="223"/>
      <c r="M143" s="223"/>
      <c r="N143" s="295"/>
      <c r="O143" s="223"/>
      <c r="P143" s="223"/>
      <c r="Q143" s="223"/>
      <c r="V143" s="133"/>
    </row>
    <row r="144" spans="1:22" hidden="1" x14ac:dyDescent="0.25">
      <c r="A144" s="295"/>
      <c r="B144" s="333"/>
      <c r="C144" s="404"/>
      <c r="D144" s="223"/>
      <c r="E144" s="223"/>
      <c r="F144" s="223"/>
      <c r="G144" s="223"/>
      <c r="H144" s="317"/>
      <c r="I144" s="317"/>
      <c r="J144" s="295"/>
      <c r="K144" s="295"/>
      <c r="L144" s="223"/>
      <c r="M144" s="223"/>
      <c r="N144" s="295"/>
      <c r="O144" s="223"/>
      <c r="P144" s="223"/>
      <c r="Q144" s="223"/>
      <c r="V144" s="133"/>
    </row>
    <row r="145" spans="1:40" x14ac:dyDescent="0.25">
      <c r="A145" s="295"/>
      <c r="B145" s="403" t="s">
        <v>1315</v>
      </c>
      <c r="C145" s="404"/>
      <c r="D145" s="404"/>
      <c r="E145" s="404"/>
      <c r="F145" s="404"/>
      <c r="G145" s="404"/>
      <c r="H145" s="404"/>
      <c r="I145" s="222"/>
      <c r="J145" s="295"/>
      <c r="K145" s="295"/>
      <c r="L145" s="223"/>
      <c r="M145" s="223"/>
      <c r="N145" s="295"/>
      <c r="O145" s="223"/>
      <c r="P145" s="223"/>
      <c r="Q145" s="223"/>
      <c r="V145" s="133"/>
    </row>
    <row r="146" spans="1:40" ht="45" x14ac:dyDescent="0.25">
      <c r="A146" s="295"/>
      <c r="B146" s="285" t="s">
        <v>131</v>
      </c>
      <c r="C146" s="166" t="s">
        <v>96</v>
      </c>
      <c r="D146" s="434" t="s">
        <v>743</v>
      </c>
      <c r="E146" s="261" t="s">
        <v>51</v>
      </c>
      <c r="F146" s="261" t="s">
        <v>52</v>
      </c>
      <c r="G146" s="165" t="s">
        <v>744</v>
      </c>
      <c r="H146" s="165" t="s">
        <v>745</v>
      </c>
      <c r="I146" s="261" t="s">
        <v>746</v>
      </c>
      <c r="J146" s="295"/>
      <c r="K146" s="295"/>
      <c r="L146" s="223"/>
      <c r="M146" s="223"/>
      <c r="N146" s="295"/>
      <c r="O146" s="223"/>
      <c r="P146" s="223"/>
      <c r="Q146" s="223"/>
      <c r="V146" s="133"/>
    </row>
    <row r="147" spans="1:40" x14ac:dyDescent="0.25">
      <c r="A147" s="295"/>
      <c r="B147" s="358" t="s">
        <v>1247</v>
      </c>
      <c r="C147" s="149">
        <f>'Inputs and eligible population'!F109</f>
        <v>0</v>
      </c>
      <c r="D147" s="128">
        <f>($C147*'Financial impact (cash)'!D14)/60</f>
        <v>0</v>
      </c>
      <c r="E147" s="128">
        <f>($C147*'Financial impact (cash)'!E14)/60</f>
        <v>0</v>
      </c>
      <c r="F147" s="128">
        <f>($C147*'Financial impact (cash)'!F14)/60</f>
        <v>0</v>
      </c>
      <c r="G147" s="128">
        <f>($C147*'Financial impact (cash)'!G14)/60</f>
        <v>0</v>
      </c>
      <c r="H147" s="128">
        <f>($C147*'Financial impact (cash)'!H14)/60</f>
        <v>0</v>
      </c>
      <c r="I147" s="128">
        <f>($C147*'Financial impact (cash)'!I14)/60</f>
        <v>0</v>
      </c>
      <c r="J147" s="295"/>
      <c r="K147" s="295"/>
      <c r="L147" s="223"/>
      <c r="M147" s="223"/>
      <c r="N147" s="295"/>
      <c r="O147" s="223"/>
      <c r="P147" s="223"/>
      <c r="Q147" s="223"/>
      <c r="V147" s="133"/>
    </row>
    <row r="148" spans="1:40" x14ac:dyDescent="0.25">
      <c r="A148" s="295"/>
      <c r="B148" s="358" t="s">
        <v>1249</v>
      </c>
      <c r="C148" s="149">
        <f>'Inputs and eligible population'!G109</f>
        <v>0</v>
      </c>
      <c r="D148" s="128">
        <f>($C148*'Financial impact (cash)'!D15)/60</f>
        <v>0</v>
      </c>
      <c r="E148" s="128">
        <f>($C148*'Financial impact (cash)'!E15)/60</f>
        <v>0</v>
      </c>
      <c r="F148" s="128">
        <f>($C148*'Financial impact (cash)'!F15)/60</f>
        <v>0</v>
      </c>
      <c r="G148" s="128">
        <f>($C148*'Financial impact (cash)'!G15)/60</f>
        <v>0</v>
      </c>
      <c r="H148" s="128">
        <f>($C148*'Financial impact (cash)'!H15)/60</f>
        <v>0</v>
      </c>
      <c r="I148" s="128">
        <f>($C148*'Financial impact (cash)'!I15)/60</f>
        <v>0</v>
      </c>
      <c r="J148" s="295"/>
      <c r="K148" s="295"/>
      <c r="L148" s="223"/>
      <c r="M148" s="223"/>
      <c r="N148" s="295"/>
      <c r="O148" s="223"/>
      <c r="P148" s="223"/>
      <c r="Q148" s="223"/>
      <c r="V148" s="133"/>
    </row>
    <row r="149" spans="1:40" x14ac:dyDescent="0.25">
      <c r="A149" s="295"/>
      <c r="B149" s="358" t="s">
        <v>1248</v>
      </c>
      <c r="C149" s="149">
        <f>'Inputs and eligible population'!H109</f>
        <v>0</v>
      </c>
      <c r="D149" s="128">
        <f>($C149*'Financial impact (cash)'!D16)/60</f>
        <v>0</v>
      </c>
      <c r="E149" s="128">
        <f>($C149*'Financial impact (cash)'!E16)/60</f>
        <v>0</v>
      </c>
      <c r="F149" s="128">
        <f>($C149*'Financial impact (cash)'!F16)/60</f>
        <v>0</v>
      </c>
      <c r="G149" s="128">
        <f>($C149*'Financial impact (cash)'!G16)/60</f>
        <v>0</v>
      </c>
      <c r="H149" s="128">
        <f>($C149*'Financial impact (cash)'!H16)/60</f>
        <v>0</v>
      </c>
      <c r="I149" s="128">
        <f>($C149*'Financial impact (cash)'!I16)/60</f>
        <v>0</v>
      </c>
      <c r="J149" s="295"/>
      <c r="K149" s="295"/>
      <c r="L149" s="223"/>
      <c r="M149" s="223"/>
      <c r="N149" s="295"/>
      <c r="O149" s="223"/>
      <c r="P149" s="223"/>
      <c r="Q149" s="223"/>
      <c r="V149" s="133"/>
    </row>
    <row r="150" spans="1:40" x14ac:dyDescent="0.25">
      <c r="A150" s="295"/>
      <c r="B150" s="358" t="s">
        <v>1259</v>
      </c>
      <c r="C150" s="149">
        <f>'Inputs and eligible population'!I109</f>
        <v>0</v>
      </c>
      <c r="D150" s="128">
        <f>($C150*'Financial impact (cash)'!D17)/60</f>
        <v>0</v>
      </c>
      <c r="E150" s="128">
        <f>($C150*'Financial impact (cash)'!E17)/60</f>
        <v>0</v>
      </c>
      <c r="F150" s="128">
        <f>($C150*'Financial impact (cash)'!F17)/60</f>
        <v>0</v>
      </c>
      <c r="G150" s="128">
        <f>($C150*'Financial impact (cash)'!G17)/60</f>
        <v>0</v>
      </c>
      <c r="H150" s="128">
        <f>($C150*'Financial impact (cash)'!H17)/60</f>
        <v>0</v>
      </c>
      <c r="I150" s="128">
        <f>($C150*'Financial impact (cash)'!I17)/60</f>
        <v>0</v>
      </c>
      <c r="J150" s="295"/>
      <c r="K150" s="295"/>
      <c r="L150" s="223"/>
      <c r="M150" s="223"/>
      <c r="N150" s="295"/>
      <c r="O150" s="223"/>
      <c r="P150" s="223"/>
      <c r="Q150" s="223"/>
      <c r="V150" s="133"/>
    </row>
    <row r="151" spans="1:40" x14ac:dyDescent="0.25">
      <c r="A151" s="295"/>
      <c r="B151" s="358" t="s">
        <v>1250</v>
      </c>
      <c r="C151" s="149">
        <f>'Inputs and eligible population'!J109</f>
        <v>0</v>
      </c>
      <c r="D151" s="128">
        <f>($C151*'Financial impact (cash)'!D18)/60</f>
        <v>0</v>
      </c>
      <c r="E151" s="128">
        <f>($C151*'Financial impact (cash)'!E18)/60</f>
        <v>0</v>
      </c>
      <c r="F151" s="128">
        <f>($C151*'Financial impact (cash)'!F18)/60</f>
        <v>0</v>
      </c>
      <c r="G151" s="128">
        <f>($C151*'Financial impact (cash)'!G18)/60</f>
        <v>0</v>
      </c>
      <c r="H151" s="128">
        <f>($C151*'Financial impact (cash)'!H18)/60</f>
        <v>0</v>
      </c>
      <c r="I151" s="128">
        <f>($C151*'Financial impact (cash)'!I18)/60</f>
        <v>0</v>
      </c>
      <c r="J151" s="295"/>
      <c r="K151" s="295"/>
      <c r="L151" s="223"/>
      <c r="M151" s="223"/>
      <c r="N151" s="295"/>
      <c r="O151" s="223"/>
      <c r="P151" s="223"/>
      <c r="Q151" s="223"/>
      <c r="V151" s="133"/>
    </row>
    <row r="152" spans="1:40" x14ac:dyDescent="0.25">
      <c r="A152" s="295"/>
      <c r="B152" s="289"/>
      <c r="C152" s="209"/>
      <c r="D152" s="187">
        <f t="shared" ref="D152:I152" si="58">SUM(D147:D149)</f>
        <v>0</v>
      </c>
      <c r="E152" s="187">
        <f t="shared" si="58"/>
        <v>0</v>
      </c>
      <c r="F152" s="187">
        <f t="shared" si="58"/>
        <v>0</v>
      </c>
      <c r="G152" s="187">
        <f t="shared" si="58"/>
        <v>0</v>
      </c>
      <c r="H152" s="187">
        <f t="shared" si="58"/>
        <v>0</v>
      </c>
      <c r="I152" s="187">
        <f t="shared" si="58"/>
        <v>0</v>
      </c>
      <c r="J152" s="295"/>
      <c r="K152" s="295"/>
      <c r="L152" s="223"/>
      <c r="M152" s="223"/>
      <c r="N152" s="295"/>
      <c r="O152" s="223"/>
      <c r="P152" s="223"/>
      <c r="Q152" s="223"/>
      <c r="V152" s="133"/>
    </row>
    <row r="153" spans="1:40" x14ac:dyDescent="0.25">
      <c r="A153" s="295"/>
      <c r="B153" s="312"/>
      <c r="C153" s="227"/>
      <c r="D153" s="291" t="s">
        <v>188</v>
      </c>
      <c r="E153" s="187">
        <f>E152-$D$152</f>
        <v>0</v>
      </c>
      <c r="F153" s="187">
        <f>F152-$D$152</f>
        <v>0</v>
      </c>
      <c r="G153" s="187">
        <f>G152-$D$152</f>
        <v>0</v>
      </c>
      <c r="H153" s="187">
        <f>H152-$D$152</f>
        <v>0</v>
      </c>
      <c r="I153" s="187">
        <f>I152-$D$152</f>
        <v>0</v>
      </c>
      <c r="J153" s="295"/>
      <c r="K153" s="295"/>
      <c r="L153" s="223"/>
      <c r="M153" s="223"/>
      <c r="N153" s="295"/>
      <c r="O153" s="223"/>
      <c r="P153" s="223"/>
      <c r="Q153" s="223"/>
      <c r="V153" s="133"/>
    </row>
    <row r="154" spans="1:40" x14ac:dyDescent="0.25">
      <c r="A154" s="295"/>
      <c r="B154" s="333"/>
      <c r="C154" s="404"/>
      <c r="D154" s="223"/>
      <c r="E154" s="223"/>
      <c r="F154" s="223"/>
      <c r="G154" s="223"/>
      <c r="H154" s="223"/>
      <c r="I154" s="223"/>
      <c r="J154" s="223"/>
      <c r="K154" s="223"/>
      <c r="L154" s="223"/>
      <c r="M154" s="223"/>
      <c r="N154" s="295"/>
      <c r="O154" s="223"/>
      <c r="P154" s="223"/>
      <c r="Q154" s="223"/>
      <c r="R154" s="133"/>
      <c r="S154" s="133"/>
      <c r="T154" s="133"/>
      <c r="U154" s="133"/>
      <c r="V154" s="133"/>
      <c r="W154" s="133"/>
      <c r="X154" s="133"/>
      <c r="Y154" s="133"/>
      <c r="Z154" s="133"/>
      <c r="AJ154" s="292"/>
      <c r="AK154" s="292"/>
      <c r="AL154" s="292"/>
      <c r="AM154" s="292"/>
      <c r="AN154" s="292"/>
    </row>
    <row r="155" spans="1:40" x14ac:dyDescent="0.25">
      <c r="A155" s="338"/>
      <c r="B155" s="339" t="s">
        <v>774</v>
      </c>
      <c r="C155" s="340"/>
      <c r="D155" s="340"/>
      <c r="E155" s="341"/>
      <c r="F155" s="342"/>
      <c r="G155" s="343"/>
      <c r="H155" s="343"/>
      <c r="I155" s="397"/>
      <c r="J155" s="338"/>
      <c r="K155" s="338"/>
      <c r="L155" s="338"/>
      <c r="M155" s="338"/>
      <c r="N155" s="338"/>
      <c r="O155" s="338"/>
      <c r="P155" s="338"/>
      <c r="Q155" s="418"/>
      <c r="R155" s="133"/>
      <c r="S155" s="133"/>
      <c r="T155" s="133"/>
      <c r="U155" s="133"/>
      <c r="V155" s="133"/>
      <c r="W155" s="133"/>
      <c r="X155" s="133"/>
      <c r="Y155" s="133"/>
      <c r="Z155" s="133"/>
      <c r="AJ155" s="292"/>
      <c r="AK155" s="292"/>
      <c r="AL155" s="292"/>
      <c r="AM155" s="292"/>
      <c r="AN155" s="292"/>
    </row>
    <row r="156" spans="1:40" x14ac:dyDescent="0.25">
      <c r="A156" s="338"/>
      <c r="B156" s="407" t="s">
        <v>100</v>
      </c>
      <c r="C156" s="408"/>
      <c r="D156" s="408"/>
      <c r="E156" s="408"/>
      <c r="F156" s="408"/>
      <c r="G156" s="408"/>
      <c r="H156" s="408"/>
      <c r="I156" s="344"/>
      <c r="J156" s="418"/>
      <c r="K156" s="418"/>
      <c r="L156" s="446"/>
      <c r="M156" s="446"/>
      <c r="N156" s="446"/>
      <c r="O156" s="446"/>
      <c r="P156" s="446"/>
      <c r="Q156" s="446"/>
      <c r="R156" s="133"/>
      <c r="S156" s="133"/>
      <c r="T156" s="133"/>
      <c r="U156" s="133"/>
      <c r="V156" s="133"/>
      <c r="W156" s="133"/>
      <c r="X156" s="133"/>
      <c r="Y156" s="133"/>
      <c r="Z156" s="133"/>
      <c r="AJ156" s="292"/>
      <c r="AK156" s="292"/>
      <c r="AL156" s="292"/>
      <c r="AM156" s="292"/>
      <c r="AN156" s="292"/>
    </row>
    <row r="157" spans="1:40" ht="45" x14ac:dyDescent="0.25">
      <c r="A157" s="338"/>
      <c r="B157" s="285" t="s">
        <v>131</v>
      </c>
      <c r="C157" s="166" t="s">
        <v>100</v>
      </c>
      <c r="D157" s="434" t="s">
        <v>743</v>
      </c>
      <c r="E157" s="261" t="s">
        <v>51</v>
      </c>
      <c r="F157" s="261" t="s">
        <v>52</v>
      </c>
      <c r="G157" s="165" t="s">
        <v>744</v>
      </c>
      <c r="H157" s="165" t="s">
        <v>745</v>
      </c>
      <c r="I157" s="261" t="s">
        <v>746</v>
      </c>
      <c r="J157" s="338"/>
      <c r="K157" s="746" t="s">
        <v>1252</v>
      </c>
      <c r="L157" s="434" t="s">
        <v>743</v>
      </c>
      <c r="M157" s="261" t="s">
        <v>51</v>
      </c>
      <c r="N157" s="261" t="s">
        <v>52</v>
      </c>
      <c r="O157" s="165" t="s">
        <v>744</v>
      </c>
      <c r="P157" s="165" t="s">
        <v>745</v>
      </c>
      <c r="Q157" s="261" t="s">
        <v>746</v>
      </c>
      <c r="R157" s="133"/>
      <c r="S157" s="133"/>
      <c r="T157" s="133"/>
      <c r="U157" s="133"/>
      <c r="V157" s="133"/>
      <c r="W157" s="133"/>
      <c r="X157" s="133"/>
      <c r="Y157" s="133"/>
      <c r="Z157" s="133"/>
      <c r="AJ157" s="292"/>
      <c r="AK157" s="292"/>
      <c r="AL157" s="292"/>
      <c r="AM157" s="292"/>
      <c r="AN157" s="292"/>
    </row>
    <row r="158" spans="1:40" x14ac:dyDescent="0.25">
      <c r="A158" s="338"/>
      <c r="B158" s="358" t="s">
        <v>1247</v>
      </c>
      <c r="C158" s="149">
        <f>'Inputs and eligible population'!F110</f>
        <v>0</v>
      </c>
      <c r="D158" s="128">
        <f>'Financial impact (cash)'!D14*$C$158</f>
        <v>0</v>
      </c>
      <c r="E158" s="128">
        <f>'Financial impact (cash)'!E14*$C$158</f>
        <v>0</v>
      </c>
      <c r="F158" s="128">
        <f>'Financial impact (cash)'!F14*$C$158</f>
        <v>0</v>
      </c>
      <c r="G158" s="128">
        <f>'Financial impact (cash)'!G14*$C$158</f>
        <v>0</v>
      </c>
      <c r="H158" s="128">
        <f>'Financial impact (cash)'!H14*$C$158</f>
        <v>0</v>
      </c>
      <c r="I158" s="128">
        <f>'Financial impact (cash)'!I14*$C$158</f>
        <v>0</v>
      </c>
      <c r="J158" s="338"/>
      <c r="K158" s="747">
        <f>'Unit costs'!$N$130</f>
        <v>0</v>
      </c>
      <c r="L158" s="299">
        <f>(D158*'Unit costs'!$N$130)/1000</f>
        <v>0</v>
      </c>
      <c r="M158" s="299">
        <f>(E158*'Unit costs'!$N$130)/1000</f>
        <v>0</v>
      </c>
      <c r="N158" s="299">
        <f>(F158*'Unit costs'!$N$130)/1000</f>
        <v>0</v>
      </c>
      <c r="O158" s="299">
        <f>(G158*'Unit costs'!$N$130)/1000</f>
        <v>0</v>
      </c>
      <c r="P158" s="299">
        <f>(H158*'Unit costs'!$N$130)/1000</f>
        <v>0</v>
      </c>
      <c r="Q158" s="299">
        <f>(I158*'Unit costs'!$N$130)/1000</f>
        <v>0</v>
      </c>
      <c r="R158" s="133"/>
      <c r="S158" s="133"/>
      <c r="T158" s="133"/>
      <c r="U158" s="133"/>
      <c r="V158" s="133"/>
      <c r="W158" s="133"/>
      <c r="X158" s="133"/>
      <c r="Y158" s="133"/>
      <c r="Z158" s="133"/>
      <c r="AJ158" s="292"/>
      <c r="AK158" s="292"/>
      <c r="AL158" s="292"/>
      <c r="AM158" s="292"/>
      <c r="AN158" s="292"/>
    </row>
    <row r="159" spans="1:40" x14ac:dyDescent="0.25">
      <c r="A159" s="338"/>
      <c r="B159" s="358" t="s">
        <v>1249</v>
      </c>
      <c r="C159" s="149">
        <f>'Inputs and eligible population'!G110</f>
        <v>0</v>
      </c>
      <c r="D159" s="128">
        <f>'Financial impact (cash)'!D15*$C$158</f>
        <v>0</v>
      </c>
      <c r="E159" s="128">
        <f>'Financial impact (cash)'!E15*$C$158</f>
        <v>0</v>
      </c>
      <c r="F159" s="128">
        <f>'Financial impact (cash)'!F15*$C$158</f>
        <v>0</v>
      </c>
      <c r="G159" s="128">
        <f>'Financial impact (cash)'!G15*$C$158</f>
        <v>0</v>
      </c>
      <c r="H159" s="128">
        <f>'Financial impact (cash)'!H15*$C$158</f>
        <v>0</v>
      </c>
      <c r="I159" s="128">
        <f>'Financial impact (cash)'!I15*$C$158</f>
        <v>0</v>
      </c>
      <c r="J159" s="338"/>
      <c r="K159" s="747">
        <f>'Unit costs'!$N$130</f>
        <v>0</v>
      </c>
      <c r="L159" s="299">
        <f>(D159*'Unit costs'!$N$130)/1000</f>
        <v>0</v>
      </c>
      <c r="M159" s="299">
        <f>(E159*'Unit costs'!$N$130)/1000</f>
        <v>0</v>
      </c>
      <c r="N159" s="299">
        <f>(F159*'Unit costs'!$N$130)/1000</f>
        <v>0</v>
      </c>
      <c r="O159" s="299">
        <f>(G159*'Unit costs'!$N$130)/1000</f>
        <v>0</v>
      </c>
      <c r="P159" s="299">
        <f>(H159*'Unit costs'!$N$130)/1000</f>
        <v>0</v>
      </c>
      <c r="Q159" s="299">
        <f>(I159*'Unit costs'!$N$130)/1000</f>
        <v>0</v>
      </c>
      <c r="R159" s="133"/>
      <c r="S159" s="133"/>
      <c r="T159" s="133"/>
      <c r="U159" s="133"/>
      <c r="V159" s="133"/>
      <c r="W159" s="133"/>
      <c r="X159" s="133"/>
      <c r="Y159" s="133"/>
      <c r="Z159" s="133"/>
      <c r="AJ159" s="292"/>
      <c r="AK159" s="292"/>
      <c r="AL159" s="292"/>
      <c r="AM159" s="292"/>
      <c r="AN159" s="292"/>
    </row>
    <row r="160" spans="1:40" x14ac:dyDescent="0.25">
      <c r="A160" s="338"/>
      <c r="B160" s="358" t="s">
        <v>1248</v>
      </c>
      <c r="C160" s="149">
        <f>'Inputs and eligible population'!H110</f>
        <v>0</v>
      </c>
      <c r="D160" s="128">
        <f>'Financial impact (cash)'!D16*$C$158</f>
        <v>0</v>
      </c>
      <c r="E160" s="128">
        <f>'Financial impact (cash)'!E16*$C$158</f>
        <v>0</v>
      </c>
      <c r="F160" s="128">
        <f>'Financial impact (cash)'!F16*$C$158</f>
        <v>0</v>
      </c>
      <c r="G160" s="128">
        <f>'Financial impact (cash)'!G16*$C$158</f>
        <v>0</v>
      </c>
      <c r="H160" s="128">
        <f>'Financial impact (cash)'!H16*$C$158</f>
        <v>0</v>
      </c>
      <c r="I160" s="128">
        <f>'Financial impact (cash)'!I16*$C$158</f>
        <v>0</v>
      </c>
      <c r="J160" s="338"/>
      <c r="K160" s="747">
        <f>'Unit costs'!$N$130</f>
        <v>0</v>
      </c>
      <c r="L160" s="299">
        <f>(D160*'Unit costs'!$N$130)/1000</f>
        <v>0</v>
      </c>
      <c r="M160" s="299">
        <f>(E160*'Unit costs'!$N$130)/1000</f>
        <v>0</v>
      </c>
      <c r="N160" s="299">
        <f>(F160*'Unit costs'!$N$130)/1000</f>
        <v>0</v>
      </c>
      <c r="O160" s="299">
        <f>(G160*'Unit costs'!$N$130)/1000</f>
        <v>0</v>
      </c>
      <c r="P160" s="299">
        <f>(H160*'Unit costs'!$N$130)/1000</f>
        <v>0</v>
      </c>
      <c r="Q160" s="299">
        <f>(I160*'Unit costs'!$N$130)/1000</f>
        <v>0</v>
      </c>
      <c r="R160" s="133"/>
      <c r="S160" s="133"/>
      <c r="T160" s="133"/>
      <c r="U160" s="133"/>
      <c r="V160" s="133"/>
      <c r="W160" s="133"/>
      <c r="X160" s="133"/>
      <c r="Y160" s="133"/>
      <c r="Z160" s="133"/>
      <c r="AJ160" s="292"/>
      <c r="AK160" s="292"/>
      <c r="AL160" s="292"/>
      <c r="AM160" s="292"/>
      <c r="AN160" s="292"/>
    </row>
    <row r="161" spans="1:40" x14ac:dyDescent="0.25">
      <c r="A161" s="338"/>
      <c r="B161" s="358" t="s">
        <v>1259</v>
      </c>
      <c r="C161" s="149">
        <f>'Inputs and eligible population'!I110</f>
        <v>0</v>
      </c>
      <c r="D161" s="128">
        <f>'Financial impact (cash)'!D17*$C$158</f>
        <v>0</v>
      </c>
      <c r="E161" s="128">
        <f>'Financial impact (cash)'!E17*$C$158</f>
        <v>0</v>
      </c>
      <c r="F161" s="128">
        <f>'Financial impact (cash)'!F17*$C$158</f>
        <v>0</v>
      </c>
      <c r="G161" s="128">
        <f>'Financial impact (cash)'!G17*$C$158</f>
        <v>0</v>
      </c>
      <c r="H161" s="128">
        <f>'Financial impact (cash)'!H17*$C$158</f>
        <v>0</v>
      </c>
      <c r="I161" s="128">
        <f>'Financial impact (cash)'!I17*$C$158</f>
        <v>0</v>
      </c>
      <c r="J161" s="338"/>
      <c r="K161" s="747">
        <f>'Unit costs'!$N$130</f>
        <v>0</v>
      </c>
      <c r="L161" s="299">
        <f>(D161*'Unit costs'!$N$130)/1000</f>
        <v>0</v>
      </c>
      <c r="M161" s="299">
        <f>(E161*'Unit costs'!$N$130)/1000</f>
        <v>0</v>
      </c>
      <c r="N161" s="299">
        <f>(F161*'Unit costs'!$N$130)/1000</f>
        <v>0</v>
      </c>
      <c r="O161" s="299">
        <f>(G161*'Unit costs'!$N$130)/1000</f>
        <v>0</v>
      </c>
      <c r="P161" s="299">
        <f>(H161*'Unit costs'!$N$130)/1000</f>
        <v>0</v>
      </c>
      <c r="Q161" s="299">
        <f>(I161*'Unit costs'!$N$130)/1000</f>
        <v>0</v>
      </c>
      <c r="R161" s="133"/>
      <c r="S161" s="133"/>
      <c r="T161" s="133"/>
      <c r="U161" s="133"/>
      <c r="V161" s="133"/>
      <c r="W161" s="133"/>
      <c r="X161" s="133"/>
      <c r="Y161" s="133"/>
      <c r="Z161" s="133"/>
      <c r="AJ161" s="292"/>
      <c r="AK161" s="292"/>
      <c r="AL161" s="292"/>
      <c r="AM161" s="292"/>
      <c r="AN161" s="292"/>
    </row>
    <row r="162" spans="1:40" x14ac:dyDescent="0.25">
      <c r="A162" s="338"/>
      <c r="B162" s="358" t="s">
        <v>1250</v>
      </c>
      <c r="C162" s="149">
        <f>'Inputs and eligible population'!J110</f>
        <v>0</v>
      </c>
      <c r="D162" s="128">
        <f>'Financial impact (cash)'!D18*$C$158</f>
        <v>0</v>
      </c>
      <c r="E162" s="128">
        <f>'Financial impact (cash)'!E18*$C$158</f>
        <v>0</v>
      </c>
      <c r="F162" s="128">
        <f>'Financial impact (cash)'!F18*$C$158</f>
        <v>0</v>
      </c>
      <c r="G162" s="128">
        <f>'Financial impact (cash)'!G18*$C$158</f>
        <v>0</v>
      </c>
      <c r="H162" s="128">
        <f>'Financial impact (cash)'!H18*$C$158</f>
        <v>0</v>
      </c>
      <c r="I162" s="128">
        <f>'Financial impact (cash)'!I18*$C$158</f>
        <v>0</v>
      </c>
      <c r="J162" s="338"/>
      <c r="K162" s="747">
        <f>'Unit costs'!$N$130</f>
        <v>0</v>
      </c>
      <c r="L162" s="299">
        <f>(D162*'Unit costs'!$N$130)/1000</f>
        <v>0</v>
      </c>
      <c r="M162" s="299">
        <f>(E162*'Unit costs'!$N$130)/1000</f>
        <v>0</v>
      </c>
      <c r="N162" s="299">
        <f>(F162*'Unit costs'!$N$130)/1000</f>
        <v>0</v>
      </c>
      <c r="O162" s="299">
        <f>(G162*'Unit costs'!$N$130)/1000</f>
        <v>0</v>
      </c>
      <c r="P162" s="299">
        <f>(H162*'Unit costs'!$N$130)/1000</f>
        <v>0</v>
      </c>
      <c r="Q162" s="299">
        <f>(I162*'Unit costs'!$N$130)/1000</f>
        <v>0</v>
      </c>
      <c r="R162" s="133"/>
      <c r="S162" s="133"/>
      <c r="T162" s="133"/>
      <c r="U162" s="133"/>
      <c r="V162" s="133"/>
      <c r="W162" s="133"/>
      <c r="X162" s="133"/>
      <c r="Y162" s="133"/>
      <c r="Z162" s="133"/>
      <c r="AJ162" s="292"/>
      <c r="AK162" s="292"/>
      <c r="AL162" s="292"/>
      <c r="AM162" s="292"/>
      <c r="AN162" s="292"/>
    </row>
    <row r="163" spans="1:40" x14ac:dyDescent="0.25">
      <c r="A163" s="338"/>
      <c r="B163" s="289"/>
      <c r="C163" s="209"/>
      <c r="D163" s="187">
        <f t="shared" ref="D163:I163" si="59">SUM(D158:D162)</f>
        <v>0</v>
      </c>
      <c r="E163" s="187">
        <f t="shared" si="59"/>
        <v>0</v>
      </c>
      <c r="F163" s="187">
        <f t="shared" si="59"/>
        <v>0</v>
      </c>
      <c r="G163" s="187">
        <f t="shared" si="59"/>
        <v>0</v>
      </c>
      <c r="H163" s="187">
        <f t="shared" si="59"/>
        <v>0</v>
      </c>
      <c r="I163" s="187">
        <f t="shared" si="59"/>
        <v>0</v>
      </c>
      <c r="J163" s="338"/>
      <c r="K163" s="338"/>
      <c r="L163" s="300">
        <f t="shared" ref="L163:Q163" si="60">SUM(L158:L162)</f>
        <v>0</v>
      </c>
      <c r="M163" s="300">
        <f t="shared" si="60"/>
        <v>0</v>
      </c>
      <c r="N163" s="300">
        <f t="shared" si="60"/>
        <v>0</v>
      </c>
      <c r="O163" s="300">
        <f t="shared" si="60"/>
        <v>0</v>
      </c>
      <c r="P163" s="300">
        <f t="shared" si="60"/>
        <v>0</v>
      </c>
      <c r="Q163" s="300">
        <f t="shared" si="60"/>
        <v>0</v>
      </c>
      <c r="R163" s="133"/>
      <c r="S163" s="133"/>
      <c r="T163" s="133"/>
      <c r="U163" s="133"/>
      <c r="V163" s="133"/>
      <c r="W163" s="133"/>
      <c r="X163" s="133"/>
      <c r="Y163" s="133"/>
      <c r="Z163" s="133"/>
      <c r="AJ163" s="292"/>
      <c r="AK163" s="292"/>
      <c r="AL163" s="292"/>
      <c r="AM163" s="292"/>
      <c r="AN163" s="292"/>
    </row>
    <row r="164" spans="1:40" x14ac:dyDescent="0.25">
      <c r="A164" s="338"/>
      <c r="B164" s="312"/>
      <c r="C164" s="262"/>
      <c r="D164" s="291" t="s">
        <v>775</v>
      </c>
      <c r="E164" s="187">
        <f>E163-$D$163</f>
        <v>0</v>
      </c>
      <c r="F164" s="187">
        <f>F163-$D$163</f>
        <v>0</v>
      </c>
      <c r="G164" s="187">
        <f>G163-$D$163</f>
        <v>0</v>
      </c>
      <c r="H164" s="187">
        <f>H163-$D$163</f>
        <v>0</v>
      </c>
      <c r="I164" s="187">
        <f>I163-$D$163</f>
        <v>0</v>
      </c>
      <c r="J164" s="338"/>
      <c r="K164" s="338"/>
      <c r="L164" s="591"/>
      <c r="M164" s="300">
        <f>M163-$L$163</f>
        <v>0</v>
      </c>
      <c r="N164" s="300">
        <f>N163-$L$163</f>
        <v>0</v>
      </c>
      <c r="O164" s="300">
        <f>O163-$L$163</f>
        <v>0</v>
      </c>
      <c r="P164" s="300">
        <f>P163-$L$163</f>
        <v>0</v>
      </c>
      <c r="Q164" s="300">
        <f>Q163-$L$163</f>
        <v>0</v>
      </c>
      <c r="V164" s="133"/>
    </row>
    <row r="165" spans="1:40" x14ac:dyDescent="0.25">
      <c r="A165" s="338"/>
      <c r="B165" s="338"/>
      <c r="C165" s="338"/>
      <c r="D165" s="338"/>
      <c r="E165" s="338"/>
      <c r="F165" s="338"/>
      <c r="G165" s="338"/>
      <c r="H165" s="338"/>
      <c r="I165" s="338"/>
      <c r="J165" s="338"/>
      <c r="K165" s="338"/>
      <c r="L165" s="338"/>
      <c r="M165" s="338"/>
      <c r="N165" s="338"/>
      <c r="O165" s="338"/>
      <c r="P165" s="338"/>
      <c r="Q165" s="338"/>
      <c r="V165" s="133"/>
    </row>
    <row r="166" spans="1:40" x14ac:dyDescent="0.25">
      <c r="A166" s="296"/>
      <c r="B166" s="334" t="s">
        <v>776</v>
      </c>
      <c r="C166" s="318"/>
      <c r="D166" s="319"/>
      <c r="E166" s="320"/>
      <c r="F166" s="321"/>
      <c r="G166" s="321"/>
      <c r="H166" s="321"/>
      <c r="I166" s="447"/>
      <c r="J166" s="296"/>
      <c r="K166" s="296"/>
      <c r="L166" s="296"/>
      <c r="M166" s="296"/>
      <c r="N166" s="296"/>
      <c r="O166" s="296"/>
      <c r="P166" s="296"/>
      <c r="Q166" s="225"/>
      <c r="R166" s="133"/>
      <c r="S166" s="133"/>
      <c r="T166" s="133"/>
      <c r="U166" s="133"/>
      <c r="V166" s="133"/>
      <c r="W166" s="133"/>
      <c r="X166" s="133"/>
      <c r="Y166" s="133"/>
      <c r="Z166" s="133"/>
      <c r="AJ166" s="292"/>
      <c r="AK166" s="292"/>
      <c r="AL166" s="292"/>
      <c r="AM166" s="292"/>
      <c r="AN166" s="292"/>
    </row>
    <row r="167" spans="1:40" x14ac:dyDescent="0.25">
      <c r="A167" s="296"/>
      <c r="B167" s="409" t="s">
        <v>1164</v>
      </c>
      <c r="C167" s="410"/>
      <c r="D167" s="410"/>
      <c r="E167" s="410"/>
      <c r="F167" s="410"/>
      <c r="G167" s="410"/>
      <c r="H167" s="410"/>
      <c r="I167" s="224"/>
      <c r="J167" s="225"/>
      <c r="K167" s="225"/>
      <c r="L167" s="296"/>
      <c r="M167" s="296"/>
      <c r="N167" s="296"/>
      <c r="O167" s="296"/>
      <c r="P167" s="296"/>
      <c r="Q167" s="225"/>
      <c r="R167" s="133"/>
      <c r="S167" s="133"/>
      <c r="T167" s="133"/>
      <c r="U167" s="133"/>
      <c r="V167" s="133"/>
      <c r="W167" s="133"/>
      <c r="X167" s="133"/>
      <c r="Y167" s="133"/>
      <c r="Z167" s="133"/>
      <c r="AJ167" s="292"/>
      <c r="AK167" s="292"/>
      <c r="AL167" s="292"/>
      <c r="AM167" s="292"/>
      <c r="AN167" s="292"/>
    </row>
    <row r="168" spans="1:40" ht="45" x14ac:dyDescent="0.25">
      <c r="A168" s="296"/>
      <c r="B168" s="285" t="s">
        <v>131</v>
      </c>
      <c r="C168" s="166" t="s">
        <v>1164</v>
      </c>
      <c r="D168" s="434" t="s">
        <v>743</v>
      </c>
      <c r="E168" s="261" t="s">
        <v>51</v>
      </c>
      <c r="F168" s="261" t="s">
        <v>52</v>
      </c>
      <c r="G168" s="165" t="s">
        <v>744</v>
      </c>
      <c r="H168" s="165" t="s">
        <v>745</v>
      </c>
      <c r="I168" s="261" t="s">
        <v>746</v>
      </c>
      <c r="J168" s="296"/>
      <c r="K168" s="296"/>
      <c r="L168" s="296"/>
      <c r="M168" s="296"/>
      <c r="N168" s="296"/>
      <c r="O168" s="296"/>
      <c r="P168" s="296"/>
      <c r="Q168" s="225"/>
      <c r="R168" s="133"/>
      <c r="S168" s="133"/>
      <c r="T168" s="133"/>
      <c r="U168" s="133"/>
      <c r="V168" s="133"/>
      <c r="W168" s="133"/>
      <c r="X168" s="133"/>
      <c r="Y168" s="133"/>
      <c r="Z168" s="133"/>
      <c r="AJ168" s="292"/>
      <c r="AK168" s="292"/>
      <c r="AL168" s="292"/>
      <c r="AM168" s="292"/>
      <c r="AN168" s="292"/>
    </row>
    <row r="169" spans="1:40" x14ac:dyDescent="0.25">
      <c r="A169" s="296"/>
      <c r="B169" s="358" t="s">
        <v>1247</v>
      </c>
      <c r="C169" s="149">
        <f>'Inputs and eligible population'!F112</f>
        <v>10.92</v>
      </c>
      <c r="D169" s="128">
        <f>D$7*'Inputs and eligible population'!E$70*$C169</f>
        <v>0</v>
      </c>
      <c r="E169" s="128">
        <f>E$7*'Inputs and eligible population'!F$70*$C169</f>
        <v>1301.0064019708245</v>
      </c>
      <c r="F169" s="128">
        <f>F$7*'Inputs and eligible population'!G$70*$C169+(E$7*'Inputs and eligible population'!F$70*('Unit costs'!$O$14/'Unit costs'!$O$9)*$C169)</f>
        <v>3053.897491128469</v>
      </c>
      <c r="G169" s="128">
        <f>G$7*'Inputs and eligible population'!H$70*$C169+(F$7*'Inputs and eligible population'!G$70*('Unit costs'!$O$14/'Unit costs'!$O$9)*$C169)</f>
        <v>4756.2718968542877</v>
      </c>
      <c r="H169" s="128">
        <f>H$7*'Inputs and eligible population'!I$70*$C169+(G$7*'Inputs and eligible population'!H$70*('Unit costs'!$O$14/'Unit costs'!$O$9)*$C169)</f>
        <v>6473.7078320286964</v>
      </c>
      <c r="I169" s="128">
        <f>I$7*'Inputs and eligible population'!J$70*$C169+(H$7*'Inputs and eligible population'!I$70*('Unit costs'!$O$14/'Unit costs'!$O$9)*$C169)</f>
        <v>6750.7755988436593</v>
      </c>
      <c r="J169" s="296"/>
      <c r="K169" s="296"/>
      <c r="L169" s="296"/>
      <c r="M169" s="296"/>
      <c r="N169" s="296"/>
      <c r="O169" s="296"/>
      <c r="P169" s="296"/>
      <c r="Q169" s="225"/>
      <c r="R169" s="133"/>
      <c r="S169" s="133"/>
      <c r="T169" s="133"/>
      <c r="U169" s="133"/>
      <c r="V169" s="133"/>
      <c r="W169" s="133"/>
      <c r="X169" s="133"/>
      <c r="Y169" s="133"/>
      <c r="Z169" s="133"/>
      <c r="AJ169" s="292"/>
      <c r="AK169" s="292"/>
      <c r="AL169" s="292"/>
      <c r="AM169" s="292"/>
      <c r="AN169" s="292"/>
    </row>
    <row r="170" spans="1:40" x14ac:dyDescent="0.25">
      <c r="A170" s="296"/>
      <c r="B170" s="358" t="s">
        <v>1249</v>
      </c>
      <c r="C170" s="149">
        <f>'Inputs and eligible population'!I112</f>
        <v>10.92</v>
      </c>
      <c r="D170" s="128">
        <f>D$7*'Inputs and eligible population'!E$71*$C170+(D$7*'Inputs and eligible population'!E$71*('Unit costs'!$O$33/'Unit costs'!$O$28)*$C170)</f>
        <v>1582.2687219327402</v>
      </c>
      <c r="E170" s="128">
        <f>E$7*'Inputs and eligible population'!F$71*$C170+(D$7*'Inputs and eligible population'!E$71*('Unit costs'!$O$33/'Unit costs'!$O$28)*$C170)</f>
        <v>1947.2490566337913</v>
      </c>
      <c r="F170" s="128">
        <f>F$7*'Inputs and eligible population'!G$71*$C170+(E$7*'Inputs and eligible population'!F$71*('Unit costs'!$O$33/'Unit costs'!$O$28)*$C170)</f>
        <v>3760.718229514262</v>
      </c>
      <c r="G170" s="128">
        <f>G$7*'Inputs and eligible population'!H$71*$C170+(F$7*'Inputs and eligible population'!G$71*('Unit costs'!$O$33/'Unit costs'!$O$28)*$C170)</f>
        <v>6311.4269621678723</v>
      </c>
      <c r="H170" s="128">
        <f>H$7*'Inputs and eligible population'!I$71*$C170+(G$7*'Inputs and eligible population'!H$71*('Unit costs'!$O$33/'Unit costs'!$O$28)*$C170)</f>
        <v>8828.9321885735353</v>
      </c>
      <c r="I170" s="128">
        <f>I$7*'Inputs and eligible population'!J$71*$C170+(H$7*'Inputs and eligible population'!I$71*('Unit costs'!$O$33/'Unit costs'!$O$28)*$C170)</f>
        <v>9921.3529006103254</v>
      </c>
      <c r="J170" s="296"/>
      <c r="K170" s="296"/>
      <c r="L170" s="296"/>
      <c r="M170" s="296"/>
      <c r="N170" s="296"/>
      <c r="O170" s="296"/>
      <c r="P170" s="296"/>
      <c r="Q170" s="225"/>
      <c r="R170" s="133"/>
      <c r="S170" s="133"/>
      <c r="T170" s="133"/>
      <c r="U170" s="133"/>
      <c r="V170" s="133"/>
      <c r="W170" s="133"/>
      <c r="X170" s="133"/>
      <c r="Y170" s="133"/>
      <c r="Z170" s="133"/>
      <c r="AJ170" s="292"/>
      <c r="AK170" s="292"/>
      <c r="AL170" s="292"/>
      <c r="AM170" s="292"/>
      <c r="AN170" s="292"/>
    </row>
    <row r="171" spans="1:40" x14ac:dyDescent="0.25">
      <c r="A171" s="296"/>
      <c r="B171" s="358" t="s">
        <v>1248</v>
      </c>
      <c r="C171" s="149">
        <f>'Inputs and eligible population'!G112</f>
        <v>10.92</v>
      </c>
      <c r="D171" s="128">
        <f>D$7*'Inputs and eligible population'!E$72*$C171</f>
        <v>4563.1270779401457</v>
      </c>
      <c r="E171" s="128">
        <f>E$7*'Inputs and eligible population'!F$72*$C171</f>
        <v>4252.7297267622316</v>
      </c>
      <c r="F171" s="128">
        <f>F$7*'Inputs and eligible population'!G$72*$C171</f>
        <v>3816.6522026522666</v>
      </c>
      <c r="G171" s="128">
        <f>G$7*'Inputs and eligible population'!H$72*$C171</f>
        <v>3371.7701748036429</v>
      </c>
      <c r="H171" s="128">
        <f>H$7*'Inputs and eligible population'!I$72*$C171</f>
        <v>2917.9544002643288</v>
      </c>
      <c r="I171" s="128">
        <f>I$7*'Inputs and eligible population'!J$72*$C171</f>
        <v>2946.0887547802013</v>
      </c>
      <c r="J171" s="296"/>
      <c r="K171" s="296"/>
      <c r="L171" s="296"/>
      <c r="M171" s="296"/>
      <c r="N171" s="296"/>
      <c r="O171" s="296"/>
      <c r="P171" s="296"/>
      <c r="Q171" s="225"/>
      <c r="R171" s="133"/>
      <c r="S171" s="133"/>
      <c r="T171" s="133"/>
      <c r="U171" s="133"/>
      <c r="V171" s="133"/>
      <c r="W171" s="133"/>
      <c r="X171" s="133"/>
      <c r="Y171" s="133"/>
      <c r="Z171" s="133"/>
      <c r="AJ171" s="292"/>
      <c r="AK171" s="292"/>
      <c r="AL171" s="292"/>
      <c r="AM171" s="292"/>
      <c r="AN171" s="292"/>
    </row>
    <row r="172" spans="1:40" x14ac:dyDescent="0.25">
      <c r="A172" s="296"/>
      <c r="B172" s="358" t="s">
        <v>1259</v>
      </c>
      <c r="C172" s="149">
        <f>'Inputs and eligible population'!H112</f>
        <v>10.92</v>
      </c>
      <c r="D172" s="128">
        <f>D$7*'Inputs and eligible population'!E$73*$C172+(D$7*'Inputs and eligible population'!E$73*('Unit costs'!$O$33/'Unit costs'!$O$28)*$C172)</f>
        <v>7515.7764291805161</v>
      </c>
      <c r="E172" s="128">
        <f>E$7*'Inputs and eligible population'!F$73*$C172+(D$7*'Inputs and eligible population'!E$73*('Unit costs'!$O$33/'Unit costs'!$O$28)*$C$172)</f>
        <v>7322.3823364113232</v>
      </c>
      <c r="F172" s="128">
        <f>F$7*'Inputs and eligible population'!G$73*$C172+(E$7*'Inputs and eligible population'!F$73*('Unit costs'!$O$33/'Unit costs'!$O$28)*$C$172)</f>
        <v>6752.7834112661913</v>
      </c>
      <c r="G172" s="128">
        <f>G$7*'Inputs and eligible population'!H$73*$C172+(F$7*'Inputs and eligible population'!G$73*('Unit costs'!$O$33/'Unit costs'!$O$28)*$C$172)</f>
        <v>6006.8286818402757</v>
      </c>
      <c r="H172" s="128">
        <f>H$7*'Inputs and eligible population'!I$73*$C172+(G$7*'Inputs and eligible population'!H$73*('Unit costs'!$O$33/'Unit costs'!$O$28)*$C$172)</f>
        <v>5245.8614798547887</v>
      </c>
      <c r="I172" s="128">
        <f>I$7*'Inputs and eligible population'!J$73*$C172+(H$7*'Inputs and eligible population'!I$73*('Unit costs'!$O$33/'Unit costs'!$O$28)*$C$172)</f>
        <v>4960.6764503051627</v>
      </c>
      <c r="J172" s="296"/>
      <c r="K172" s="296"/>
      <c r="L172" s="296"/>
      <c r="M172" s="296"/>
      <c r="N172" s="296"/>
      <c r="O172" s="296"/>
      <c r="P172" s="296"/>
      <c r="Q172" s="225"/>
      <c r="R172" s="133"/>
      <c r="S172" s="133"/>
      <c r="T172" s="133"/>
      <c r="U172" s="133"/>
      <c r="V172" s="133"/>
      <c r="W172" s="133"/>
      <c r="X172" s="133"/>
      <c r="Y172" s="133"/>
      <c r="Z172" s="133"/>
      <c r="AJ172" s="292"/>
      <c r="AK172" s="292"/>
      <c r="AL172" s="292"/>
      <c r="AM172" s="292"/>
      <c r="AN172" s="292"/>
    </row>
    <row r="173" spans="1:40" x14ac:dyDescent="0.25">
      <c r="A173" s="296"/>
      <c r="B173" s="358" t="s">
        <v>1250</v>
      </c>
      <c r="C173" s="149">
        <f>'Inputs and eligible population'!J112</f>
        <v>10.92</v>
      </c>
      <c r="D173" s="128">
        <f>D$7*'Inputs and eligible population'!E$74*$C173+(D$7*'Inputs and eligible population'!E$74*$C173)</f>
        <v>26910.749434005982</v>
      </c>
      <c r="E173" s="128">
        <f>E$7*'Inputs and eligible population'!F$74*$C173+(D$7*'Inputs and eligible population'!E$74*$C173)</f>
        <v>25977.301134691785</v>
      </c>
      <c r="F173" s="128">
        <f>F$7*'Inputs and eligible population'!G$74*$C173+(E$7*'Inputs and eligible population'!F$74*$C173)</f>
        <v>23017.719974982527</v>
      </c>
      <c r="G173" s="128">
        <f>G$7*'Inputs and eligible population'!H$74*$C173+(F$7*'Inputs and eligible population'!G$74*$C173)</f>
        <v>19166.059721074525</v>
      </c>
      <c r="H173" s="128">
        <f>H$7*'Inputs and eligible population'!I$74*$C173+(G$7*'Inputs and eligible population'!H$74*$C173)</f>
        <v>15478.82643106423</v>
      </c>
      <c r="I173" s="128">
        <f>I$7*'Inputs and eligible population'!J$74*$C173+(H$7*'Inputs and eligible population'!I$74*$C173)</f>
        <v>13682.767361770571</v>
      </c>
      <c r="J173" s="296"/>
      <c r="K173" s="296"/>
      <c r="L173" s="296"/>
      <c r="M173" s="296"/>
      <c r="N173" s="296"/>
      <c r="O173" s="296"/>
      <c r="P173" s="296"/>
      <c r="Q173" s="225"/>
      <c r="R173" s="133"/>
      <c r="S173" s="133"/>
      <c r="T173" s="133"/>
      <c r="U173" s="133"/>
      <c r="V173" s="133"/>
      <c r="W173" s="133"/>
      <c r="X173" s="133"/>
      <c r="Y173" s="133"/>
      <c r="Z173" s="133"/>
      <c r="AJ173" s="292"/>
      <c r="AK173" s="292"/>
      <c r="AL173" s="292"/>
      <c r="AM173" s="292"/>
      <c r="AN173" s="292"/>
    </row>
    <row r="174" spans="1:40" x14ac:dyDescent="0.25">
      <c r="A174" s="296"/>
      <c r="B174" s="289"/>
      <c r="C174" s="209"/>
      <c r="D174" s="187">
        <f t="shared" ref="D174:I174" si="61">SUM(D169:D173)</f>
        <v>40571.921663059387</v>
      </c>
      <c r="E174" s="187">
        <f t="shared" si="61"/>
        <v>40800.668656469956</v>
      </c>
      <c r="F174" s="187">
        <f t="shared" si="61"/>
        <v>40401.771309543721</v>
      </c>
      <c r="G174" s="187">
        <f t="shared" si="61"/>
        <v>39612.357436740604</v>
      </c>
      <c r="H174" s="187">
        <f t="shared" si="61"/>
        <v>38945.28233178558</v>
      </c>
      <c r="I174" s="187">
        <f t="shared" si="61"/>
        <v>38261.66106630992</v>
      </c>
      <c r="J174" s="296"/>
      <c r="K174" s="296"/>
      <c r="L174" s="296"/>
      <c r="M174" s="296"/>
      <c r="N174" s="296"/>
      <c r="O174" s="296"/>
      <c r="P174" s="296"/>
      <c r="Q174" s="225"/>
      <c r="R174" s="133"/>
      <c r="S174" s="133"/>
      <c r="T174" s="133"/>
      <c r="U174" s="133"/>
      <c r="V174" s="133"/>
      <c r="W174" s="133"/>
      <c r="X174" s="133"/>
      <c r="Y174" s="133"/>
      <c r="Z174" s="133"/>
      <c r="AJ174" s="292"/>
      <c r="AK174" s="292"/>
      <c r="AL174" s="292"/>
      <c r="AM174" s="292"/>
      <c r="AN174" s="292"/>
    </row>
    <row r="175" spans="1:40" x14ac:dyDescent="0.25">
      <c r="A175" s="296"/>
      <c r="B175" s="312"/>
      <c r="C175" s="262"/>
      <c r="D175" s="291" t="s">
        <v>1184</v>
      </c>
      <c r="E175" s="187">
        <f>E174-$D$174</f>
        <v>228.74699341056839</v>
      </c>
      <c r="F175" s="187">
        <f>F174-$D$174</f>
        <v>-170.15035351566621</v>
      </c>
      <c r="G175" s="187">
        <f>G174-$D$174</f>
        <v>-959.56422631878377</v>
      </c>
      <c r="H175" s="187">
        <f>H174-$D$174</f>
        <v>-1626.6393312738073</v>
      </c>
      <c r="I175" s="187">
        <f>I174-$D$174</f>
        <v>-2310.2605967494674</v>
      </c>
      <c r="J175" s="296"/>
      <c r="K175" s="296"/>
      <c r="L175" s="296"/>
      <c r="M175" s="296"/>
      <c r="N175" s="296"/>
      <c r="O175" s="296"/>
      <c r="P175" s="296"/>
      <c r="Q175" s="225"/>
      <c r="V175" s="133"/>
    </row>
    <row r="176" spans="1:40" x14ac:dyDescent="0.25">
      <c r="A176" s="296"/>
      <c r="B176" s="335"/>
      <c r="C176" s="225"/>
      <c r="D176" s="225"/>
      <c r="E176" s="225"/>
      <c r="F176" s="225"/>
      <c r="G176" s="225"/>
      <c r="H176" s="225"/>
      <c r="I176" s="225"/>
      <c r="J176" s="296"/>
      <c r="K176" s="296"/>
      <c r="L176" s="296"/>
      <c r="M176" s="296"/>
      <c r="N176" s="296"/>
      <c r="O176" s="296"/>
      <c r="P176" s="296"/>
      <c r="Q176" s="225"/>
      <c r="V176" s="133"/>
    </row>
    <row r="177" spans="1:40" x14ac:dyDescent="0.25">
      <c r="A177" s="296"/>
      <c r="B177" s="409" t="s">
        <v>1165</v>
      </c>
      <c r="C177" s="410"/>
      <c r="D177" s="410"/>
      <c r="E177" s="410"/>
      <c r="F177" s="410"/>
      <c r="G177" s="410"/>
      <c r="H177" s="410"/>
      <c r="I177" s="224"/>
      <c r="J177" s="296"/>
      <c r="K177" s="296"/>
      <c r="L177" s="296"/>
      <c r="M177" s="296"/>
      <c r="N177" s="296"/>
      <c r="O177" s="296"/>
      <c r="P177" s="296"/>
      <c r="Q177" s="225"/>
      <c r="R177" s="133"/>
      <c r="S177" s="133"/>
      <c r="T177" s="133"/>
      <c r="U177" s="133"/>
      <c r="V177" s="133"/>
      <c r="W177" s="133"/>
      <c r="X177" s="133"/>
      <c r="Y177" s="133"/>
      <c r="Z177" s="133"/>
      <c r="AJ177" s="292"/>
      <c r="AK177" s="292"/>
      <c r="AL177" s="292"/>
      <c r="AM177" s="292"/>
      <c r="AN177" s="292"/>
    </row>
    <row r="178" spans="1:40" ht="45" x14ac:dyDescent="0.25">
      <c r="A178" s="296"/>
      <c r="B178" s="285" t="s">
        <v>131</v>
      </c>
      <c r="C178" s="166" t="s">
        <v>1185</v>
      </c>
      <c r="D178" s="434" t="s">
        <v>743</v>
      </c>
      <c r="E178" s="261" t="s">
        <v>51</v>
      </c>
      <c r="F178" s="261" t="s">
        <v>52</v>
      </c>
      <c r="G178" s="165" t="s">
        <v>744</v>
      </c>
      <c r="H178" s="165" t="s">
        <v>745</v>
      </c>
      <c r="I178" s="261" t="s">
        <v>746</v>
      </c>
      <c r="J178" s="296"/>
      <c r="K178" s="296"/>
      <c r="L178" s="296"/>
      <c r="M178" s="296"/>
      <c r="N178" s="296"/>
      <c r="O178" s="296"/>
      <c r="P178" s="296"/>
      <c r="Q178" s="225"/>
      <c r="R178" s="133"/>
      <c r="S178" s="133"/>
      <c r="T178" s="133"/>
      <c r="U178" s="133"/>
      <c r="V178" s="133"/>
      <c r="W178" s="133"/>
      <c r="X178" s="133"/>
      <c r="Y178" s="133"/>
      <c r="Z178" s="133"/>
      <c r="AJ178" s="292"/>
      <c r="AK178" s="292"/>
      <c r="AL178" s="292"/>
      <c r="AM178" s="292"/>
      <c r="AN178" s="292"/>
    </row>
    <row r="179" spans="1:40" x14ac:dyDescent="0.25">
      <c r="A179" s="296"/>
      <c r="B179" s="358" t="s">
        <v>1247</v>
      </c>
      <c r="C179" s="149">
        <f>'Inputs and eligible population'!F114</f>
        <v>9.8800000000000008</v>
      </c>
      <c r="D179" s="128">
        <f>D$7*'Inputs and eligible population'!E$70*$C179</f>
        <v>0</v>
      </c>
      <c r="E179" s="128">
        <f>E$7*'Inputs and eligible population'!F$70*$C179</f>
        <v>1177.1010303545556</v>
      </c>
      <c r="F179" s="128">
        <f>F$7*'Inputs and eligible population'!G$70*$C179+(E$7*'Inputs and eligible population'!F$70*('Unit costs'!$O$14/'Unit costs'!$O$9)*$C179)</f>
        <v>2763.0501110209957</v>
      </c>
      <c r="G179" s="128">
        <f>G$7*'Inputs and eligible population'!H$70*$C179+(F$7*'Inputs and eligible population'!G$70*('Unit costs'!$O$14/'Unit costs'!$O$9)*$C179)</f>
        <v>4303.2936209634036</v>
      </c>
      <c r="H179" s="128">
        <f>H$7*'Inputs and eligible population'!I$70*$C179+(G$7*'Inputs and eligible population'!H$70*('Unit costs'!$O$14/'Unit costs'!$O$9)*$C179)</f>
        <v>5857.1642289783449</v>
      </c>
      <c r="I179" s="128">
        <f>I$7*'Inputs and eligible population'!J$70*$C179+(H$7*'Inputs and eligible population'!I$70*('Unit costs'!$O$14/'Unit costs'!$O$9)*$C179)</f>
        <v>6107.8445894299784</v>
      </c>
      <c r="J179" s="296"/>
      <c r="K179" s="296"/>
      <c r="L179" s="296"/>
      <c r="M179" s="296"/>
      <c r="N179" s="296"/>
      <c r="O179" s="296"/>
      <c r="P179" s="296"/>
      <c r="Q179" s="225"/>
      <c r="R179" s="133"/>
      <c r="S179" s="133"/>
      <c r="T179" s="133"/>
      <c r="U179" s="133"/>
      <c r="V179" s="133"/>
      <c r="W179" s="133"/>
      <c r="X179" s="133"/>
      <c r="Y179" s="133"/>
      <c r="Z179" s="133"/>
      <c r="AJ179" s="292"/>
      <c r="AK179" s="292"/>
      <c r="AL179" s="292"/>
      <c r="AM179" s="292"/>
      <c r="AN179" s="292"/>
    </row>
    <row r="180" spans="1:40" x14ac:dyDescent="0.25">
      <c r="A180" s="296"/>
      <c r="B180" s="358" t="s">
        <v>1249</v>
      </c>
      <c r="C180" s="149">
        <f>'Inputs and eligible population'!G114</f>
        <v>9.8800000000000008</v>
      </c>
      <c r="D180" s="128">
        <f>D$7*'Inputs and eligible population'!E$71*$C180+(D$7*'Inputs and eligible population'!E$71*('Unit costs'!$O$33/'Unit costs'!$O$28)*$C180)</f>
        <v>1431.5764627010508</v>
      </c>
      <c r="E180" s="128">
        <f>E$7*'Inputs and eligible population'!F$71*$C180+(D$7*'Inputs and eligible population'!E$71*('Unit costs'!$O$33/'Unit costs'!$O$28)*$C180)</f>
        <v>1761.7967655258112</v>
      </c>
      <c r="F180" s="128">
        <f>F$7*'Inputs and eligible population'!G$71*$C180+(E$7*'Inputs and eligible population'!F$71*('Unit costs'!$O$33/'Unit costs'!$O$28)*$C180)</f>
        <v>3402.5545886081418</v>
      </c>
      <c r="G180" s="128">
        <f>G$7*'Inputs and eligible population'!H$71*$C180+(F$7*'Inputs and eligible population'!G$71*('Unit costs'!$O$33/'Unit costs'!$O$28)*$C180)</f>
        <v>5710.3386800566468</v>
      </c>
      <c r="H180" s="128">
        <f>H$7*'Inputs and eligible population'!I$71*$C180+(G$7*'Inputs and eligible population'!H$71*('Unit costs'!$O$33/'Unit costs'!$O$28)*$C180)</f>
        <v>7988.0815039474846</v>
      </c>
      <c r="I180" s="128">
        <f>I$7*'Inputs and eligible population'!J$71*$C180+(H$7*'Inputs and eligible population'!I$71*('Unit costs'!$O$33/'Unit costs'!$O$28)*$C180)</f>
        <v>8976.4621481712475</v>
      </c>
      <c r="J180" s="296"/>
      <c r="K180" s="296"/>
      <c r="L180" s="296"/>
      <c r="M180" s="296"/>
      <c r="N180" s="296"/>
      <c r="O180" s="296"/>
      <c r="P180" s="296"/>
      <c r="Q180" s="225"/>
      <c r="R180" s="133"/>
      <c r="S180" s="133"/>
      <c r="T180" s="133"/>
      <c r="U180" s="133"/>
      <c r="V180" s="133"/>
      <c r="W180" s="133"/>
      <c r="X180" s="133"/>
      <c r="Y180" s="133"/>
      <c r="Z180" s="133"/>
      <c r="AJ180" s="292"/>
      <c r="AK180" s="292"/>
      <c r="AL180" s="292"/>
      <c r="AM180" s="292"/>
      <c r="AN180" s="292"/>
    </row>
    <row r="181" spans="1:40" x14ac:dyDescent="0.25">
      <c r="A181" s="296"/>
      <c r="B181" s="358" t="s">
        <v>1248</v>
      </c>
      <c r="C181" s="149">
        <f>'Inputs and eligible population'!H114</f>
        <v>9.8800000000000008</v>
      </c>
      <c r="D181" s="128">
        <f>D$7*'Inputs and eligible population'!E$72*$C181</f>
        <v>4128.5435467077505</v>
      </c>
      <c r="E181" s="128">
        <f>E$7*'Inputs and eligible population'!F$72*$C181</f>
        <v>3847.707848022972</v>
      </c>
      <c r="F181" s="128">
        <f>F$7*'Inputs and eligible population'!G$72*$C181</f>
        <v>3453.1615166853844</v>
      </c>
      <c r="G181" s="128">
        <f>G$7*'Inputs and eligible population'!H$72*$C181</f>
        <v>3050.6492057747246</v>
      </c>
      <c r="H181" s="128">
        <f>H$7*'Inputs and eligible population'!I$72*$C181</f>
        <v>2640.053981191536</v>
      </c>
      <c r="I181" s="128">
        <f>I$7*'Inputs and eligible population'!J$72*$C181</f>
        <v>2665.5088733725634</v>
      </c>
      <c r="J181" s="296"/>
      <c r="K181" s="296"/>
      <c r="L181" s="296"/>
      <c r="M181" s="296"/>
      <c r="N181" s="296"/>
      <c r="O181" s="296"/>
      <c r="P181" s="296"/>
      <c r="Q181" s="225"/>
      <c r="R181" s="133"/>
      <c r="S181" s="133"/>
      <c r="T181" s="133"/>
      <c r="U181" s="133"/>
      <c r="V181" s="133"/>
      <c r="W181" s="133"/>
      <c r="X181" s="133"/>
      <c r="Y181" s="133"/>
      <c r="Z181" s="133"/>
      <c r="AJ181" s="292"/>
      <c r="AK181" s="292"/>
      <c r="AL181" s="292"/>
      <c r="AM181" s="292"/>
      <c r="AN181" s="292"/>
    </row>
    <row r="182" spans="1:40" x14ac:dyDescent="0.25">
      <c r="A182" s="296"/>
      <c r="B182" s="358" t="s">
        <v>1259</v>
      </c>
      <c r="C182" s="149">
        <f>'Inputs and eligible population'!I114</f>
        <v>9.8800000000000008</v>
      </c>
      <c r="D182" s="128">
        <f>D$7*'Inputs and eligible population'!E$73*$C182+(D$7*'Inputs and eligible population'!E$73*('Unit costs'!$O$33/'Unit costs'!$O$28)*$C182)</f>
        <v>6799.9881978299909</v>
      </c>
      <c r="E182" s="128">
        <f>E$7*'Inputs and eligible population'!F$73*$C182+(D$7*'Inputs and eligible population'!E$73*('Unit costs'!$O$33/'Unit costs'!$O$28)*$C$172)</f>
        <v>6917.3604576720645</v>
      </c>
      <c r="F182" s="128">
        <f>F$7*'Inputs and eligible population'!G$73*$C182+(E$7*'Inputs and eligible population'!F$73*('Unit costs'!$O$33/'Unit costs'!$O$28)*$C$172)</f>
        <v>6389.2927252993086</v>
      </c>
      <c r="G182" s="128">
        <f>G$7*'Inputs and eligible population'!H$73*$C182+(F$7*'Inputs and eligible population'!G$73*('Unit costs'!$O$33/'Unit costs'!$O$28)*$C$172)</f>
        <v>5685.7077128113579</v>
      </c>
      <c r="H182" s="128">
        <f>H$7*'Inputs and eligible population'!I$73*$C182+(G$7*'Inputs and eligible population'!H$73*('Unit costs'!$O$33/'Unit costs'!$O$28)*$C$172)</f>
        <v>4967.9610607819959</v>
      </c>
      <c r="I182" s="128">
        <f>I$7*'Inputs and eligible population'!J$73*$C182+(H$7*'Inputs and eligible population'!I$73*('Unit costs'!$O$33/'Unit costs'!$O$28)*$C$172)</f>
        <v>4680.0965688975248</v>
      </c>
      <c r="J182" s="296"/>
      <c r="K182" s="296"/>
      <c r="L182" s="296"/>
      <c r="M182" s="296"/>
      <c r="N182" s="296"/>
      <c r="O182" s="296"/>
      <c r="P182" s="296"/>
      <c r="Q182" s="225"/>
      <c r="R182" s="133"/>
      <c r="S182" s="133"/>
      <c r="T182" s="133"/>
      <c r="U182" s="133"/>
      <c r="V182" s="133"/>
      <c r="W182" s="133"/>
      <c r="X182" s="133"/>
      <c r="Y182" s="133"/>
      <c r="Z182" s="133"/>
      <c r="AJ182" s="292"/>
      <c r="AK182" s="292"/>
      <c r="AL182" s="292"/>
      <c r="AM182" s="292"/>
      <c r="AN182" s="292"/>
    </row>
    <row r="183" spans="1:40" x14ac:dyDescent="0.25">
      <c r="A183" s="296"/>
      <c r="B183" s="358" t="s">
        <v>1250</v>
      </c>
      <c r="C183" s="149">
        <f>'Inputs and eligible population'!J114</f>
        <v>9.8800000000000008</v>
      </c>
      <c r="D183" s="128">
        <f>D$7*'Inputs and eligible population'!E$74*$C183+(D$7*'Inputs and eligible population'!E$74*$C183)</f>
        <v>24347.820916481603</v>
      </c>
      <c r="E183" s="128">
        <f>E$7*'Inputs and eligible population'!F$74*$C183+(D$7*'Inputs and eligible population'!E$74*$C183)</f>
        <v>23503.27245519733</v>
      </c>
      <c r="F183" s="128">
        <f>F$7*'Inputs and eligible population'!G$74*$C183+(E$7*'Inputs and eligible population'!F$74*$C183)</f>
        <v>20825.556167841336</v>
      </c>
      <c r="G183" s="128">
        <f>G$7*'Inputs and eligible population'!H$74*$C183+(F$7*'Inputs and eligible population'!G$74*$C183)</f>
        <v>17340.72070001981</v>
      </c>
      <c r="H183" s="128">
        <f>H$7*'Inputs and eligible population'!I$74*$C183+(G$7*'Inputs and eligible population'!H$74*$C183)</f>
        <v>14004.652485248589</v>
      </c>
      <c r="I183" s="128">
        <f>I$7*'Inputs and eligible population'!J$74*$C183+(H$7*'Inputs and eligible population'!I$74*$C183)</f>
        <v>12379.646660649565</v>
      </c>
      <c r="J183" s="296"/>
      <c r="K183" s="296"/>
      <c r="L183" s="296"/>
      <c r="M183" s="296"/>
      <c r="N183" s="296"/>
      <c r="O183" s="296"/>
      <c r="P183" s="296"/>
      <c r="Q183" s="225"/>
      <c r="R183" s="133"/>
      <c r="S183" s="133"/>
      <c r="T183" s="133"/>
      <c r="U183" s="133"/>
      <c r="V183" s="133"/>
      <c r="W183" s="133"/>
      <c r="X183" s="133"/>
      <c r="Y183" s="133"/>
      <c r="Z183" s="133"/>
      <c r="AJ183" s="292"/>
      <c r="AK183" s="292"/>
      <c r="AL183" s="292"/>
      <c r="AM183" s="292"/>
      <c r="AN183" s="292"/>
    </row>
    <row r="184" spans="1:40" x14ac:dyDescent="0.25">
      <c r="A184" s="296"/>
      <c r="B184" s="289"/>
      <c r="C184" s="209"/>
      <c r="D184" s="187">
        <f t="shared" ref="D184:I184" si="62">SUM(D179:D183)</f>
        <v>36707.929123720394</v>
      </c>
      <c r="E184" s="187">
        <f t="shared" si="62"/>
        <v>37207.238556772732</v>
      </c>
      <c r="F184" s="187">
        <f t="shared" si="62"/>
        <v>36833.615109455168</v>
      </c>
      <c r="G184" s="187">
        <f t="shared" si="62"/>
        <v>36090.709919625944</v>
      </c>
      <c r="H184" s="187">
        <f t="shared" si="62"/>
        <v>35457.91326014795</v>
      </c>
      <c r="I184" s="187">
        <f t="shared" si="62"/>
        <v>34809.558840520884</v>
      </c>
      <c r="J184" s="296"/>
      <c r="K184" s="296"/>
      <c r="L184" s="296"/>
      <c r="M184" s="296"/>
      <c r="N184" s="296"/>
      <c r="O184" s="296"/>
      <c r="P184" s="296"/>
      <c r="Q184" s="225"/>
      <c r="R184" s="133"/>
      <c r="S184" s="133"/>
      <c r="T184" s="133"/>
      <c r="U184" s="133"/>
      <c r="V184" s="133"/>
      <c r="W184" s="133"/>
      <c r="X184" s="133"/>
      <c r="Y184" s="133"/>
      <c r="Z184" s="133"/>
      <c r="AJ184" s="292"/>
      <c r="AK184" s="292"/>
      <c r="AL184" s="292"/>
      <c r="AM184" s="292"/>
      <c r="AN184" s="292"/>
    </row>
    <row r="185" spans="1:40" x14ac:dyDescent="0.25">
      <c r="A185" s="296"/>
      <c r="B185" s="312"/>
      <c r="C185" s="262"/>
      <c r="D185" s="291" t="s">
        <v>1186</v>
      </c>
      <c r="E185" s="187">
        <f>E184-$D$184</f>
        <v>499.30943305233814</v>
      </c>
      <c r="F185" s="187">
        <f>F184-$D$184</f>
        <v>125.68598573477357</v>
      </c>
      <c r="G185" s="187">
        <f>G184-$D$184</f>
        <v>-617.21920409445011</v>
      </c>
      <c r="H185" s="187">
        <f>H184-$D$184</f>
        <v>-1250.0158635724438</v>
      </c>
      <c r="I185" s="187">
        <f>I184-$D$184</f>
        <v>-1898.3702831995106</v>
      </c>
      <c r="J185" s="296"/>
      <c r="K185" s="296"/>
      <c r="L185" s="296"/>
      <c r="M185" s="296"/>
      <c r="N185" s="296"/>
      <c r="O185" s="296"/>
      <c r="P185" s="296"/>
      <c r="Q185" s="225"/>
      <c r="V185" s="133"/>
    </row>
    <row r="186" spans="1:40" x14ac:dyDescent="0.25">
      <c r="A186" s="296"/>
      <c r="B186" s="335"/>
      <c r="C186" s="225"/>
      <c r="D186" s="225"/>
      <c r="E186" s="225"/>
      <c r="F186" s="225"/>
      <c r="G186" s="225"/>
      <c r="H186" s="225"/>
      <c r="I186" s="225"/>
      <c r="J186" s="225"/>
      <c r="K186" s="225"/>
      <c r="L186" s="296"/>
      <c r="M186" s="296"/>
      <c r="N186" s="296"/>
      <c r="O186" s="296"/>
      <c r="P186" s="296"/>
      <c r="Q186" s="225"/>
      <c r="V186" s="133"/>
    </row>
    <row r="187" spans="1:40" x14ac:dyDescent="0.25">
      <c r="A187" s="296"/>
      <c r="B187" s="409" t="s">
        <v>1187</v>
      </c>
      <c r="C187" s="410"/>
      <c r="D187" s="410"/>
      <c r="E187" s="410"/>
      <c r="F187" s="410"/>
      <c r="G187" s="410"/>
      <c r="H187" s="410"/>
      <c r="I187" s="224"/>
      <c r="J187" s="225"/>
      <c r="K187" s="225"/>
      <c r="L187" s="296"/>
      <c r="M187" s="296"/>
      <c r="N187" s="296"/>
      <c r="O187" s="296"/>
      <c r="P187" s="296"/>
      <c r="Q187" s="225"/>
      <c r="R187" s="133"/>
      <c r="S187" s="133"/>
      <c r="T187" s="133"/>
      <c r="U187" s="133"/>
      <c r="V187" s="133"/>
      <c r="W187" s="133"/>
      <c r="X187" s="133"/>
      <c r="Y187" s="133"/>
      <c r="Z187" s="133"/>
      <c r="AJ187" s="292"/>
      <c r="AK187" s="292"/>
      <c r="AL187" s="292"/>
      <c r="AM187" s="292"/>
      <c r="AN187" s="292"/>
    </row>
    <row r="188" spans="1:40" ht="45" x14ac:dyDescent="0.25">
      <c r="A188" s="296"/>
      <c r="B188" s="285" t="s">
        <v>131</v>
      </c>
      <c r="C188" s="166" t="s">
        <v>1188</v>
      </c>
      <c r="D188" s="434" t="s">
        <v>743</v>
      </c>
      <c r="E188" s="261" t="s">
        <v>51</v>
      </c>
      <c r="F188" s="261" t="s">
        <v>52</v>
      </c>
      <c r="G188" s="165" t="s">
        <v>744</v>
      </c>
      <c r="H188" s="165" t="s">
        <v>745</v>
      </c>
      <c r="I188" s="261" t="s">
        <v>746</v>
      </c>
      <c r="J188" s="296"/>
      <c r="K188" s="296"/>
      <c r="L188" s="296"/>
      <c r="M188" s="296"/>
      <c r="N188" s="296"/>
      <c r="O188" s="296"/>
      <c r="P188" s="296"/>
      <c r="Q188" s="225"/>
      <c r="R188" s="133"/>
      <c r="S188" s="133"/>
      <c r="T188" s="133"/>
      <c r="U188" s="133"/>
      <c r="V188" s="133"/>
      <c r="W188" s="133"/>
      <c r="X188" s="133"/>
      <c r="Y188" s="133"/>
      <c r="Z188" s="133"/>
      <c r="AJ188" s="292"/>
      <c r="AK188" s="292"/>
      <c r="AL188" s="292"/>
      <c r="AM188" s="292"/>
      <c r="AN188" s="292"/>
    </row>
    <row r="189" spans="1:40" x14ac:dyDescent="0.25">
      <c r="A189" s="296"/>
      <c r="B189" s="358" t="s">
        <v>1247</v>
      </c>
      <c r="C189" s="149">
        <f>'Inputs and eligible population'!F116</f>
        <v>6.24</v>
      </c>
      <c r="D189" s="128">
        <f>D$7*'Inputs and eligible population'!E$70*$C189</f>
        <v>0</v>
      </c>
      <c r="E189" s="128">
        <f>E$7*'Inputs and eligible population'!F$70*$C189</f>
        <v>743.43222969761405</v>
      </c>
      <c r="F189" s="128">
        <f>F$7*'Inputs and eligible population'!G$70*$C189+(E$7*'Inputs and eligible population'!F$70*('Unit costs'!$O$14/'Unit costs'!$O$9)*$C189)</f>
        <v>1745.0842806448395</v>
      </c>
      <c r="G189" s="128">
        <f>G$7*'Inputs and eligible population'!H$70*$C189+(F$7*'Inputs and eligible population'!G$70*('Unit costs'!$O$14/'Unit costs'!$O$9)*$C189)</f>
        <v>2717.8696553453074</v>
      </c>
      <c r="H189" s="128">
        <f>H$7*'Inputs and eligible population'!I$70*$C189+(G$7*'Inputs and eligible population'!H$70*('Unit costs'!$O$14/'Unit costs'!$O$9)*$C189)</f>
        <v>3699.2616183021128</v>
      </c>
      <c r="I189" s="128">
        <f>I$7*'Inputs and eligible population'!J$70*$C189+(H$7*'Inputs and eligible population'!I$70*('Unit costs'!$O$14/'Unit costs'!$O$9)*$C189)</f>
        <v>3857.5860564820914</v>
      </c>
      <c r="J189" s="296"/>
      <c r="K189" s="296"/>
      <c r="L189" s="296"/>
      <c r="M189" s="296"/>
      <c r="N189" s="296"/>
      <c r="O189" s="296"/>
      <c r="P189" s="296"/>
      <c r="Q189" s="225"/>
      <c r="R189" s="133"/>
      <c r="S189" s="133"/>
      <c r="T189" s="133"/>
      <c r="U189" s="133"/>
      <c r="V189" s="133"/>
      <c r="W189" s="133"/>
      <c r="X189" s="133"/>
      <c r="Y189" s="133"/>
      <c r="Z189" s="133"/>
      <c r="AJ189" s="292"/>
      <c r="AK189" s="292"/>
      <c r="AL189" s="292"/>
      <c r="AM189" s="292"/>
      <c r="AN189" s="292"/>
    </row>
    <row r="190" spans="1:40" x14ac:dyDescent="0.25">
      <c r="A190" s="296"/>
      <c r="B190" s="358" t="s">
        <v>1249</v>
      </c>
      <c r="C190" s="149">
        <f>'Inputs and eligible population'!G116</f>
        <v>6.24</v>
      </c>
      <c r="D190" s="128">
        <f>D$7*'Inputs and eligible population'!E$71*$C190+(D$7*'Inputs and eligible population'!E$71*('Unit costs'!$O$33/'Unit costs'!$O$28)*$C190)</f>
        <v>904.15355539013717</v>
      </c>
      <c r="E190" s="128">
        <f>E$7*'Inputs and eligible population'!F$71*$C190+(D$7*'Inputs and eligible population'!E$71*('Unit costs'!$O$33/'Unit costs'!$O$28)*$C190)</f>
        <v>1112.7137466478807</v>
      </c>
      <c r="F190" s="128">
        <f>F$7*'Inputs and eligible population'!G$71*$C190+(E$7*'Inputs and eligible population'!F$71*('Unit costs'!$O$33/'Unit costs'!$O$28)*$C190)</f>
        <v>2148.9818454367214</v>
      </c>
      <c r="G190" s="128">
        <f>G$7*'Inputs and eligible population'!H$71*$C190+(F$7*'Inputs and eligible population'!G$71*('Unit costs'!$O$33/'Unit costs'!$O$28)*$C190)</f>
        <v>3606.5296926673559</v>
      </c>
      <c r="H190" s="128">
        <f>H$7*'Inputs and eligible population'!I$71*$C190+(G$7*'Inputs and eligible population'!H$71*('Unit costs'!$O$33/'Unit costs'!$O$28)*$C190)</f>
        <v>5045.1041077563059</v>
      </c>
      <c r="I190" s="128">
        <f>I$7*'Inputs and eligible population'!J$71*$C190+(H$7*'Inputs and eligible population'!I$71*('Unit costs'!$O$33/'Unit costs'!$O$28)*$C190)</f>
        <v>5669.3445146344711</v>
      </c>
      <c r="J190" s="296"/>
      <c r="K190" s="296"/>
      <c r="L190" s="296"/>
      <c r="M190" s="296"/>
      <c r="N190" s="296"/>
      <c r="O190" s="296"/>
      <c r="P190" s="296"/>
      <c r="Q190" s="225"/>
      <c r="R190" s="133"/>
      <c r="S190" s="133"/>
      <c r="T190" s="133"/>
      <c r="U190" s="133"/>
      <c r="V190" s="133"/>
      <c r="W190" s="133"/>
      <c r="X190" s="133"/>
      <c r="Y190" s="133"/>
      <c r="Z190" s="133"/>
      <c r="AJ190" s="292"/>
      <c r="AK190" s="292"/>
      <c r="AL190" s="292"/>
      <c r="AM190" s="292"/>
      <c r="AN190" s="292"/>
    </row>
    <row r="191" spans="1:40" x14ac:dyDescent="0.25">
      <c r="A191" s="296"/>
      <c r="B191" s="358" t="s">
        <v>1248</v>
      </c>
      <c r="C191" s="149">
        <f>'Inputs and eligible population'!H116</f>
        <v>6.24</v>
      </c>
      <c r="D191" s="128">
        <f>D$7*'Inputs and eligible population'!E$72*$C191</f>
        <v>2607.501187394369</v>
      </c>
      <c r="E191" s="128">
        <f>E$7*'Inputs and eligible population'!F$72*$C191</f>
        <v>2430.1312724355612</v>
      </c>
      <c r="F191" s="128">
        <f>F$7*'Inputs and eligible population'!G$72*$C191</f>
        <v>2180.9441158012955</v>
      </c>
      <c r="G191" s="128">
        <f>G$7*'Inputs and eligible population'!H$72*$C191</f>
        <v>1926.7258141735103</v>
      </c>
      <c r="H191" s="128">
        <f>H$7*'Inputs and eligible population'!I$72*$C191</f>
        <v>1667.4025144367595</v>
      </c>
      <c r="I191" s="128">
        <f>I$7*'Inputs and eligible population'!J$72*$C191</f>
        <v>1683.4792884458293</v>
      </c>
      <c r="J191" s="296"/>
      <c r="K191" s="296"/>
      <c r="L191" s="296"/>
      <c r="M191" s="296"/>
      <c r="N191" s="296"/>
      <c r="O191" s="296"/>
      <c r="P191" s="296"/>
      <c r="Q191" s="225"/>
      <c r="R191" s="133"/>
      <c r="S191" s="133"/>
      <c r="T191" s="133"/>
      <c r="U191" s="133"/>
      <c r="V191" s="133"/>
      <c r="W191" s="133"/>
      <c r="X191" s="133"/>
      <c r="Y191" s="133"/>
      <c r="Z191" s="133"/>
      <c r="AJ191" s="292"/>
      <c r="AK191" s="292"/>
      <c r="AL191" s="292"/>
      <c r="AM191" s="292"/>
      <c r="AN191" s="292"/>
    </row>
    <row r="192" spans="1:40" x14ac:dyDescent="0.25">
      <c r="A192" s="296"/>
      <c r="B192" s="358" t="s">
        <v>1259</v>
      </c>
      <c r="C192" s="149">
        <f>'Inputs and eligible population'!I116</f>
        <v>6.24</v>
      </c>
      <c r="D192" s="128">
        <f>D$7*'Inputs and eligible population'!E$73*$C192+(D$7*'Inputs and eligible population'!E$73*('Unit costs'!$O$33/'Unit costs'!$O$28)*$C192)</f>
        <v>4294.7293881031519</v>
      </c>
      <c r="E192" s="128">
        <f>E$7*'Inputs and eligible population'!F$73*$C192+(D$7*'Inputs and eligible population'!E$73*('Unit costs'!$O$33/'Unit costs'!$O$28)*$C$172)</f>
        <v>5499.7838820846537</v>
      </c>
      <c r="F192" s="128">
        <f>F$7*'Inputs and eligible population'!G$73*$C192+(E$7*'Inputs and eligible population'!F$73*('Unit costs'!$O$33/'Unit costs'!$O$28)*$C$172)</f>
        <v>5117.0753244152202</v>
      </c>
      <c r="G192" s="128">
        <f>G$7*'Inputs and eligible population'!H$73*$C192+(F$7*'Inputs and eligible population'!G$73*('Unit costs'!$O$33/'Unit costs'!$O$28)*$C$172)</f>
        <v>4561.7843212101434</v>
      </c>
      <c r="H192" s="128">
        <f>H$7*'Inputs and eligible population'!I$73*$C192+(G$7*'Inputs and eligible population'!H$73*('Unit costs'!$O$33/'Unit costs'!$O$28)*$C$172)</f>
        <v>3995.3095940272196</v>
      </c>
      <c r="I192" s="128">
        <f>I$7*'Inputs and eligible population'!J$73*$C192+(H$7*'Inputs and eligible population'!I$73*('Unit costs'!$O$33/'Unit costs'!$O$28)*$C$172)</f>
        <v>3698.0669839707907</v>
      </c>
      <c r="J192" s="296"/>
      <c r="K192" s="296"/>
      <c r="L192" s="296"/>
      <c r="M192" s="296"/>
      <c r="N192" s="296"/>
      <c r="O192" s="296"/>
      <c r="P192" s="296"/>
      <c r="Q192" s="225"/>
      <c r="R192" s="133"/>
      <c r="S192" s="133"/>
      <c r="T192" s="133"/>
      <c r="U192" s="133"/>
      <c r="V192" s="133"/>
      <c r="W192" s="133"/>
      <c r="X192" s="133"/>
      <c r="Y192" s="133"/>
      <c r="Z192" s="133"/>
      <c r="AJ192" s="292"/>
      <c r="AK192" s="292"/>
      <c r="AL192" s="292"/>
      <c r="AM192" s="292"/>
      <c r="AN192" s="292"/>
    </row>
    <row r="193" spans="1:40" x14ac:dyDescent="0.25">
      <c r="A193" s="296"/>
      <c r="B193" s="358" t="s">
        <v>1250</v>
      </c>
      <c r="C193" s="149">
        <f>'Inputs and eligible population'!J116</f>
        <v>6.24</v>
      </c>
      <c r="D193" s="128">
        <f>D$7*'Inputs and eligible population'!E$74*$C193+(D$7*'Inputs and eligible population'!E$74*$C193)</f>
        <v>15377.571105146275</v>
      </c>
      <c r="E193" s="128">
        <f>E$7*'Inputs and eligible population'!F$74*$C193+(D$7*'Inputs and eligible population'!E$74*$C193)</f>
        <v>14844.172076966734</v>
      </c>
      <c r="F193" s="128">
        <f>F$7*'Inputs and eligible population'!G$74*$C193+(E$7*'Inputs and eligible population'!F$74*$C193)</f>
        <v>13152.982842847159</v>
      </c>
      <c r="G193" s="128">
        <f>G$7*'Inputs and eligible population'!H$74*$C193+(F$7*'Inputs and eligible population'!G$74*$C193)</f>
        <v>10952.034126328303</v>
      </c>
      <c r="H193" s="128">
        <f>H$7*'Inputs and eligible population'!I$74*$C193+(G$7*'Inputs and eligible population'!H$74*$C193)</f>
        <v>8845.0436748938464</v>
      </c>
      <c r="I193" s="128">
        <f>I$7*'Inputs and eligible population'!J$74*$C193+(H$7*'Inputs and eligible population'!I$74*$C193)</f>
        <v>7818.7242067260413</v>
      </c>
      <c r="J193" s="296"/>
      <c r="K193" s="296"/>
      <c r="L193" s="296"/>
      <c r="M193" s="296"/>
      <c r="N193" s="296"/>
      <c r="O193" s="296"/>
      <c r="P193" s="296"/>
      <c r="Q193" s="225"/>
      <c r="R193" s="133"/>
      <c r="S193" s="133"/>
      <c r="T193" s="133"/>
      <c r="U193" s="133"/>
      <c r="V193" s="133"/>
      <c r="W193" s="133"/>
      <c r="X193" s="133"/>
      <c r="Y193" s="133"/>
      <c r="Z193" s="133"/>
      <c r="AJ193" s="292"/>
      <c r="AK193" s="292"/>
      <c r="AL193" s="292"/>
      <c r="AM193" s="292"/>
      <c r="AN193" s="292"/>
    </row>
    <row r="194" spans="1:40" x14ac:dyDescent="0.25">
      <c r="A194" s="296"/>
      <c r="B194" s="289"/>
      <c r="C194" s="209"/>
      <c r="D194" s="187">
        <f t="shared" ref="D194:I194" si="63">SUM(D189:D193)</f>
        <v>23183.955236033933</v>
      </c>
      <c r="E194" s="187">
        <f t="shared" si="63"/>
        <v>24630.233207832443</v>
      </c>
      <c r="F194" s="187">
        <f t="shared" si="63"/>
        <v>24345.068409145235</v>
      </c>
      <c r="G194" s="187">
        <f t="shared" si="63"/>
        <v>23764.943609724622</v>
      </c>
      <c r="H194" s="187">
        <f t="shared" si="63"/>
        <v>23252.121509416243</v>
      </c>
      <c r="I194" s="187">
        <f t="shared" si="63"/>
        <v>22727.201050259224</v>
      </c>
      <c r="J194" s="296"/>
      <c r="K194" s="296"/>
      <c r="L194" s="296"/>
      <c r="M194" s="296"/>
      <c r="N194" s="296"/>
      <c r="O194" s="296"/>
      <c r="P194" s="296"/>
      <c r="Q194" s="225"/>
      <c r="R194" s="133"/>
      <c r="S194" s="133"/>
      <c r="T194" s="133"/>
      <c r="U194" s="133"/>
      <c r="V194" s="133"/>
      <c r="W194" s="133"/>
      <c r="X194" s="133"/>
      <c r="Y194" s="133"/>
      <c r="Z194" s="133"/>
      <c r="AJ194" s="292"/>
      <c r="AK194" s="292"/>
      <c r="AL194" s="292"/>
      <c r="AM194" s="292"/>
      <c r="AN194" s="292"/>
    </row>
    <row r="195" spans="1:40" x14ac:dyDescent="0.25">
      <c r="A195" s="296"/>
      <c r="B195" s="312"/>
      <c r="C195" s="262"/>
      <c r="D195" s="291" t="s">
        <v>1189</v>
      </c>
      <c r="E195" s="187">
        <f>E194-$D$194</f>
        <v>1446.2779717985104</v>
      </c>
      <c r="F195" s="187">
        <f>F194-$D$194</f>
        <v>1161.1131731113019</v>
      </c>
      <c r="G195" s="187">
        <f>G194-$D$194</f>
        <v>580.9883736906886</v>
      </c>
      <c r="H195" s="187">
        <f>H194-$D$194</f>
        <v>68.166273382310465</v>
      </c>
      <c r="I195" s="187">
        <f>I194-$D$194</f>
        <v>-456.75418577470919</v>
      </c>
      <c r="J195" s="296"/>
      <c r="K195" s="296"/>
      <c r="L195" s="296"/>
      <c r="M195" s="296"/>
      <c r="N195" s="296"/>
      <c r="O195" s="296"/>
      <c r="P195" s="296"/>
      <c r="Q195" s="225"/>
      <c r="V195" s="133"/>
    </row>
    <row r="196" spans="1:40" x14ac:dyDescent="0.25">
      <c r="A196" s="296"/>
      <c r="B196" s="296"/>
      <c r="C196" s="225"/>
      <c r="D196" s="296"/>
      <c r="E196" s="296"/>
      <c r="F196" s="296"/>
      <c r="G196" s="296"/>
      <c r="H196" s="296"/>
      <c r="I196" s="225"/>
      <c r="J196" s="225"/>
      <c r="K196" s="225"/>
      <c r="L196" s="296"/>
      <c r="M196" s="296"/>
      <c r="N196" s="296"/>
      <c r="O196" s="296"/>
      <c r="P196" s="296"/>
      <c r="Q196" s="225"/>
      <c r="V196" s="133"/>
    </row>
    <row r="197" spans="1:40" x14ac:dyDescent="0.25">
      <c r="A197" s="296"/>
      <c r="B197" s="409" t="s">
        <v>1190</v>
      </c>
      <c r="C197" s="410"/>
      <c r="D197" s="410"/>
      <c r="E197" s="410"/>
      <c r="F197" s="410"/>
      <c r="G197" s="410"/>
      <c r="H197" s="410"/>
      <c r="I197" s="224"/>
      <c r="J197" s="225"/>
      <c r="K197" s="225"/>
      <c r="L197" s="296"/>
      <c r="M197" s="296"/>
      <c r="N197" s="296"/>
      <c r="O197" s="296"/>
      <c r="P197" s="296"/>
      <c r="Q197" s="225"/>
      <c r="V197" s="133"/>
    </row>
    <row r="198" spans="1:40" ht="60" x14ac:dyDescent="0.25">
      <c r="A198" s="296"/>
      <c r="B198" s="285" t="s">
        <v>131</v>
      </c>
      <c r="C198" s="166" t="s">
        <v>1191</v>
      </c>
      <c r="D198" s="434" t="s">
        <v>743</v>
      </c>
      <c r="E198" s="261" t="s">
        <v>51</v>
      </c>
      <c r="F198" s="261" t="s">
        <v>52</v>
      </c>
      <c r="G198" s="165" t="s">
        <v>744</v>
      </c>
      <c r="H198" s="165" t="s">
        <v>745</v>
      </c>
      <c r="I198" s="261" t="s">
        <v>746</v>
      </c>
      <c r="J198" s="296"/>
      <c r="K198" s="296"/>
      <c r="L198" s="296"/>
      <c r="M198" s="296"/>
      <c r="N198" s="296"/>
      <c r="O198" s="296"/>
      <c r="P198" s="296"/>
      <c r="Q198" s="225"/>
      <c r="V198" s="133"/>
    </row>
    <row r="199" spans="1:40" x14ac:dyDescent="0.25">
      <c r="A199" s="296"/>
      <c r="B199" s="358" t="s">
        <v>1247</v>
      </c>
      <c r="C199" s="149">
        <f>'Inputs and eligible population'!F118</f>
        <v>6.76</v>
      </c>
      <c r="D199" s="128">
        <f>D$7*'Inputs and eligible population'!E$70*$C199</f>
        <v>0</v>
      </c>
      <c r="E199" s="128">
        <f>E$7*'Inputs and eligible population'!F$70*$C199</f>
        <v>805.38491550574849</v>
      </c>
      <c r="F199" s="128">
        <f>F$7*'Inputs and eligible population'!G$70*$C199+(E$7*'Inputs and eligible population'!F$70*('Unit costs'!$O$14/'Unit costs'!$O$9)*$C199)</f>
        <v>1890.5079706985759</v>
      </c>
      <c r="G199" s="128">
        <f>G$7*'Inputs and eligible population'!H$70*$C199+(F$7*'Inputs and eligible population'!G$70*('Unit costs'!$O$14/'Unit costs'!$O$9)*$C199)</f>
        <v>2944.3587932907494</v>
      </c>
      <c r="H199" s="128">
        <f>H$7*'Inputs and eligible population'!I$70*$C199+(G$7*'Inputs and eligible population'!H$70*('Unit costs'!$O$14/'Unit costs'!$O$9)*$C199)</f>
        <v>4007.5334198272885</v>
      </c>
      <c r="I199" s="128">
        <f>I$7*'Inputs and eligible population'!J$70*$C199+(H$7*'Inputs and eligible population'!I$70*('Unit costs'!$O$14/'Unit costs'!$O$9)*$C199)</f>
        <v>4179.0515611889314</v>
      </c>
      <c r="J199" s="296"/>
      <c r="K199" s="296"/>
      <c r="L199" s="296"/>
      <c r="M199" s="296"/>
      <c r="N199" s="296"/>
      <c r="O199" s="296"/>
      <c r="P199" s="296"/>
      <c r="Q199" s="225"/>
      <c r="V199" s="133"/>
    </row>
    <row r="200" spans="1:40" x14ac:dyDescent="0.25">
      <c r="A200" s="296"/>
      <c r="B200" s="358" t="s">
        <v>1249</v>
      </c>
      <c r="C200" s="149">
        <f>'Inputs and eligible population'!G118</f>
        <v>6.76</v>
      </c>
      <c r="D200" s="128">
        <f>D$7*'Inputs and eligible population'!E$71*$C200+(D$7*'Inputs and eligible population'!E$71*('Unit costs'!$O$33/'Unit costs'!$O$28)*$C200)</f>
        <v>979.49968500598197</v>
      </c>
      <c r="E200" s="128">
        <f>E$7*'Inputs and eligible population'!F$71*$C200+(D$7*'Inputs and eligible population'!E$71*('Unit costs'!$O$33/'Unit costs'!$O$28)*$C200)</f>
        <v>1205.4398922018709</v>
      </c>
      <c r="F200" s="128">
        <f>F$7*'Inputs and eligible population'!G$71*$C200+(E$7*'Inputs and eligible population'!F$71*('Unit costs'!$O$33/'Unit costs'!$O$28)*$C200)</f>
        <v>2328.0636658897811</v>
      </c>
      <c r="G200" s="128">
        <f>G$7*'Inputs and eligible population'!H$71*$C200+(F$7*'Inputs and eligible population'!G$71*('Unit costs'!$O$33/'Unit costs'!$O$28)*$C200)</f>
        <v>3907.0738337229682</v>
      </c>
      <c r="H200" s="128">
        <f>H$7*'Inputs and eligible population'!I$71*$C200+(G$7*'Inputs and eligible population'!H$71*('Unit costs'!$O$33/'Unit costs'!$O$28)*$C200)</f>
        <v>5465.5294500693308</v>
      </c>
      <c r="I200" s="128">
        <f>I$7*'Inputs and eligible population'!J$71*$C200+(H$7*'Inputs and eligible population'!I$71*('Unit costs'!$O$33/'Unit costs'!$O$28)*$C200)</f>
        <v>6141.7898908540101</v>
      </c>
      <c r="J200" s="296"/>
      <c r="K200" s="296"/>
      <c r="L200" s="296"/>
      <c r="M200" s="296"/>
      <c r="N200" s="296"/>
      <c r="O200" s="296"/>
      <c r="P200" s="296"/>
      <c r="Q200" s="225"/>
      <c r="V200" s="133"/>
    </row>
    <row r="201" spans="1:40" x14ac:dyDescent="0.25">
      <c r="A201" s="296"/>
      <c r="B201" s="358" t="s">
        <v>1248</v>
      </c>
      <c r="C201" s="149">
        <f>'Inputs and eligible population'!H118</f>
        <v>6.76</v>
      </c>
      <c r="D201" s="128">
        <f>D$7*'Inputs and eligible population'!E$72*$C201</f>
        <v>2824.7929530105662</v>
      </c>
      <c r="E201" s="128">
        <f>E$7*'Inputs and eligible population'!F$72*$C201</f>
        <v>2632.642211805191</v>
      </c>
      <c r="F201" s="128">
        <f>F$7*'Inputs and eligible population'!G$72*$C201</f>
        <v>2362.6894587847364</v>
      </c>
      <c r="G201" s="128">
        <f>G$7*'Inputs and eligible population'!H$72*$C201</f>
        <v>2087.2862986879695</v>
      </c>
      <c r="H201" s="128">
        <f>H$7*'Inputs and eligible population'!I$72*$C201</f>
        <v>1806.3527239731559</v>
      </c>
      <c r="I201" s="128">
        <f>I$7*'Inputs and eligible population'!J$72*$C201</f>
        <v>1823.7692291496483</v>
      </c>
      <c r="J201" s="296"/>
      <c r="K201" s="296"/>
      <c r="L201" s="296"/>
      <c r="M201" s="296"/>
      <c r="N201" s="296"/>
      <c r="O201" s="296"/>
      <c r="P201" s="296"/>
      <c r="Q201" s="225"/>
      <c r="V201" s="133"/>
    </row>
    <row r="202" spans="1:40" x14ac:dyDescent="0.25">
      <c r="A202" s="296"/>
      <c r="B202" s="358" t="s">
        <v>1259</v>
      </c>
      <c r="C202" s="149">
        <f>'Inputs and eligible population'!I118</f>
        <v>6.76</v>
      </c>
      <c r="D202" s="128">
        <f>D$7*'Inputs and eligible population'!E$73*$C202+(D$7*'Inputs and eligible population'!E$73*('Unit costs'!$O$33/'Unit costs'!$O$28)*$C202)</f>
        <v>4652.6235037784136</v>
      </c>
      <c r="E202" s="128">
        <f>E$7*'Inputs and eligible population'!F$73*$C202+(D$7*'Inputs and eligible population'!E$73*('Unit costs'!$O$33/'Unit costs'!$O$28)*$C$172)</f>
        <v>5702.294821454283</v>
      </c>
      <c r="F202" s="128">
        <f>F$7*'Inputs and eligible population'!G$73*$C202+(E$7*'Inputs and eligible population'!F$73*('Unit costs'!$O$33/'Unit costs'!$O$28)*$C$172)</f>
        <v>5298.8206673986606</v>
      </c>
      <c r="G202" s="128">
        <f>G$7*'Inputs and eligible population'!H$73*$C202+(F$7*'Inputs and eligible population'!G$73*('Unit costs'!$O$33/'Unit costs'!$O$28)*$C$172)</f>
        <v>4722.3448057246023</v>
      </c>
      <c r="H202" s="128">
        <f>H$7*'Inputs and eligible population'!I$73*$C202+(G$7*'Inputs and eligible population'!H$73*('Unit costs'!$O$33/'Unit costs'!$O$28)*$C$172)</f>
        <v>4134.2598035636156</v>
      </c>
      <c r="I202" s="128">
        <f>I$7*'Inputs and eligible population'!J$73*$C202+(H$7*'Inputs and eligible population'!I$73*('Unit costs'!$O$33/'Unit costs'!$O$28)*$C$172)</f>
        <v>3838.3569246746092</v>
      </c>
      <c r="J202" s="296"/>
      <c r="K202" s="296"/>
      <c r="L202" s="296"/>
      <c r="M202" s="296"/>
      <c r="N202" s="296"/>
      <c r="O202" s="296"/>
      <c r="P202" s="296"/>
      <c r="Q202" s="225"/>
      <c r="V202" s="133"/>
    </row>
    <row r="203" spans="1:40" x14ac:dyDescent="0.25">
      <c r="A203" s="296"/>
      <c r="B203" s="358" t="s">
        <v>1250</v>
      </c>
      <c r="C203" s="149">
        <f>'Inputs and eligible population'!J118</f>
        <v>6.76</v>
      </c>
      <c r="D203" s="128">
        <f>D$7*'Inputs and eligible population'!E$74*$C203+(D$7*'Inputs and eligible population'!E$74*$C203)</f>
        <v>16659.035363908464</v>
      </c>
      <c r="E203" s="128">
        <f>E$7*'Inputs and eligible population'!F$74*$C203+(D$7*'Inputs and eligible population'!E$74*$C203)</f>
        <v>16081.186416713961</v>
      </c>
      <c r="F203" s="128">
        <f>F$7*'Inputs and eligible population'!G$74*$C203+(E$7*'Inputs and eligible population'!F$74*$C203)</f>
        <v>14249.064746417755</v>
      </c>
      <c r="G203" s="128">
        <f>G$7*'Inputs and eligible population'!H$74*$C203+(F$7*'Inputs and eligible population'!G$74*$C203)</f>
        <v>11864.703636855658</v>
      </c>
      <c r="H203" s="128">
        <f>H$7*'Inputs and eligible population'!I$74*$C203+(G$7*'Inputs and eligible population'!H$74*$C203)</f>
        <v>9582.130647801665</v>
      </c>
      <c r="I203" s="128">
        <f>I$7*'Inputs and eligible population'!J$74*$C203+(H$7*'Inputs and eligible population'!I$74*$C203)</f>
        <v>8470.2845572865444</v>
      </c>
      <c r="J203" s="296"/>
      <c r="K203" s="296"/>
      <c r="L203" s="296"/>
      <c r="M203" s="296"/>
      <c r="N203" s="296"/>
      <c r="O203" s="296"/>
      <c r="P203" s="296"/>
      <c r="Q203" s="225"/>
      <c r="V203" s="133"/>
    </row>
    <row r="204" spans="1:40" x14ac:dyDescent="0.25">
      <c r="A204" s="296"/>
      <c r="B204" s="289"/>
      <c r="C204" s="209"/>
      <c r="D204" s="187">
        <f t="shared" ref="D204:I204" si="64">SUM(D199:D203)</f>
        <v>25115.951505703426</v>
      </c>
      <c r="E204" s="187">
        <f t="shared" si="64"/>
        <v>26426.948257681055</v>
      </c>
      <c r="F204" s="187">
        <f t="shared" si="64"/>
        <v>26129.146509189508</v>
      </c>
      <c r="G204" s="187">
        <f t="shared" si="64"/>
        <v>25525.767368281948</v>
      </c>
      <c r="H204" s="187">
        <f t="shared" si="64"/>
        <v>24995.806045235055</v>
      </c>
      <c r="I204" s="187">
        <f t="shared" si="64"/>
        <v>24453.252163153742</v>
      </c>
      <c r="J204" s="296"/>
      <c r="K204" s="296"/>
      <c r="L204" s="296"/>
      <c r="M204" s="296"/>
      <c r="N204" s="296"/>
      <c r="O204" s="296"/>
      <c r="P204" s="296"/>
      <c r="Q204" s="225"/>
      <c r="V204" s="133"/>
    </row>
    <row r="205" spans="1:40" x14ac:dyDescent="0.25">
      <c r="A205" s="296"/>
      <c r="B205" s="312"/>
      <c r="C205" s="262"/>
      <c r="D205" s="291" t="s">
        <v>1192</v>
      </c>
      <c r="E205" s="187">
        <f>E204-$D$204</f>
        <v>1310.9967519776292</v>
      </c>
      <c r="F205" s="187">
        <f>F204-$D$204</f>
        <v>1013.195003486082</v>
      </c>
      <c r="G205" s="187">
        <f>G204-$D$204</f>
        <v>409.81586257852177</v>
      </c>
      <c r="H205" s="187">
        <f>H204-$D$204</f>
        <v>-120.14546046837131</v>
      </c>
      <c r="I205" s="187">
        <f>I204-$D$204</f>
        <v>-662.69934254968393</v>
      </c>
      <c r="J205" s="296"/>
      <c r="K205" s="296"/>
      <c r="L205" s="296"/>
      <c r="M205" s="296"/>
      <c r="N205" s="296"/>
      <c r="O205" s="296"/>
      <c r="P205" s="296"/>
      <c r="Q205" s="225"/>
      <c r="V205" s="133"/>
    </row>
    <row r="206" spans="1:40" x14ac:dyDescent="0.25">
      <c r="A206" s="296"/>
      <c r="B206" s="296"/>
      <c r="C206" s="225"/>
      <c r="D206" s="296"/>
      <c r="E206" s="296"/>
      <c r="F206" s="296"/>
      <c r="G206" s="296"/>
      <c r="H206" s="296"/>
      <c r="I206" s="225"/>
      <c r="J206" s="225"/>
      <c r="K206" s="225"/>
      <c r="L206" s="225"/>
      <c r="M206" s="225"/>
      <c r="N206" s="225"/>
      <c r="O206" s="225"/>
      <c r="P206" s="225"/>
      <c r="Q206" s="225"/>
      <c r="V206" s="133"/>
    </row>
    <row r="207" spans="1:40" x14ac:dyDescent="0.25">
      <c r="A207" s="297"/>
      <c r="B207" s="336" t="s">
        <v>103</v>
      </c>
      <c r="C207" s="322"/>
      <c r="D207" s="323"/>
      <c r="E207" s="324"/>
      <c r="F207" s="325"/>
      <c r="G207" s="325"/>
      <c r="H207" s="325"/>
      <c r="I207" s="444"/>
      <c r="J207" s="450"/>
      <c r="K207" s="297"/>
      <c r="L207" s="297"/>
      <c r="M207" s="297"/>
      <c r="N207" s="297"/>
      <c r="O207" s="297"/>
      <c r="P207" s="297"/>
      <c r="Q207" s="297"/>
      <c r="R207" s="133"/>
      <c r="S207" s="133"/>
      <c r="T207" s="133"/>
      <c r="U207" s="133"/>
      <c r="V207" s="133"/>
      <c r="W207" s="133"/>
      <c r="X207" s="133"/>
      <c r="Y207" s="133"/>
      <c r="Z207" s="133"/>
      <c r="AJ207" s="292"/>
      <c r="AK207" s="292"/>
      <c r="AL207" s="292"/>
      <c r="AM207" s="292"/>
      <c r="AN207" s="292"/>
    </row>
    <row r="208" spans="1:40" x14ac:dyDescent="0.25">
      <c r="A208" s="297"/>
      <c r="B208" s="411" t="s">
        <v>777</v>
      </c>
      <c r="C208" s="412"/>
      <c r="D208" s="412"/>
      <c r="E208" s="412"/>
      <c r="F208" s="412"/>
      <c r="G208" s="412"/>
      <c r="H208" s="412"/>
      <c r="I208" s="226"/>
      <c r="J208" s="448"/>
      <c r="K208" s="448"/>
      <c r="L208" s="449"/>
      <c r="M208" s="449"/>
      <c r="N208" s="449"/>
      <c r="O208" s="449"/>
      <c r="P208" s="449"/>
      <c r="Q208" s="449"/>
      <c r="R208" s="133"/>
      <c r="S208" s="133"/>
      <c r="T208" s="133"/>
      <c r="U208" s="133"/>
      <c r="V208" s="133"/>
      <c r="W208" s="133"/>
      <c r="X208" s="133"/>
      <c r="Y208" s="133"/>
      <c r="Z208" s="133"/>
      <c r="AJ208" s="292"/>
      <c r="AK208" s="292"/>
      <c r="AL208" s="292"/>
      <c r="AM208" s="292"/>
      <c r="AN208" s="292"/>
    </row>
    <row r="209" spans="1:40" ht="45" x14ac:dyDescent="0.25">
      <c r="A209" s="297"/>
      <c r="B209" s="285" t="s">
        <v>131</v>
      </c>
      <c r="C209" s="211"/>
      <c r="D209" s="434" t="s">
        <v>743</v>
      </c>
      <c r="E209" s="261" t="s">
        <v>51</v>
      </c>
      <c r="F209" s="261" t="s">
        <v>52</v>
      </c>
      <c r="G209" s="165" t="s">
        <v>744</v>
      </c>
      <c r="H209" s="165" t="s">
        <v>745</v>
      </c>
      <c r="I209" s="261" t="s">
        <v>746</v>
      </c>
      <c r="J209" s="297"/>
      <c r="K209" s="297"/>
      <c r="L209" s="434" t="s">
        <v>743</v>
      </c>
      <c r="M209" s="261" t="s">
        <v>51</v>
      </c>
      <c r="N209" s="261" t="s">
        <v>52</v>
      </c>
      <c r="O209" s="165" t="s">
        <v>744</v>
      </c>
      <c r="P209" s="165" t="s">
        <v>745</v>
      </c>
      <c r="Q209" s="261" t="s">
        <v>746</v>
      </c>
      <c r="R209" s="133"/>
      <c r="S209" s="133"/>
      <c r="T209" s="133"/>
      <c r="U209" s="133"/>
      <c r="V209" s="133"/>
      <c r="W209" s="133"/>
      <c r="X209" s="133"/>
      <c r="Y209" s="133"/>
      <c r="Z209" s="133"/>
      <c r="AJ209" s="292"/>
      <c r="AK209" s="292"/>
      <c r="AL209" s="292"/>
      <c r="AM209" s="292"/>
      <c r="AN209" s="292"/>
    </row>
    <row r="210" spans="1:40" x14ac:dyDescent="0.25">
      <c r="A210" s="297"/>
      <c r="B210" s="253" t="s">
        <v>1106</v>
      </c>
      <c r="C210" s="168"/>
      <c r="D210" s="128">
        <f>('Unit costs'!$C137*'Financial impact (cash)'!D$14)+('Unit costs'!$E137*'Financial impact (cash)'!D$16)+('Unit costs'!$F137*'Financial impact (cash)'!D$17)+('Unit costs'!$D137*'Financial impact (cash)'!D$15)+('Unit costs'!$G137*'Financial impact (cash)'!D$18)</f>
        <v>318.77843176957288</v>
      </c>
      <c r="E210" s="128">
        <f>('Unit costs'!$C137*'Financial impact (cash)'!E$14)+('Unit costs'!$E137*'Financial impact (cash)'!E$16)+('Unit costs'!$F137*'Financial impact (cash)'!E$17)+('Unit costs'!$D137*'Financial impact (cash)'!E$15)+('Unit costs'!$G137*'Financial impact (cash)'!E$18)</f>
        <v>324.93521916523753</v>
      </c>
      <c r="F210" s="128">
        <f>('Unit costs'!$C137*'Financial impact (cash)'!F$14)+('Unit costs'!$E137*'Financial impact (cash)'!F$16)+('Unit costs'!$F137*'Financial impact (cash)'!F$17)+('Unit costs'!$D137*'Financial impact (cash)'!F$15)+('Unit costs'!$G137*'Financial impact (cash)'!F$18)</f>
        <v>335.00172252925654</v>
      </c>
      <c r="G210" s="128">
        <f>('Unit costs'!$C137*'Financial impact (cash)'!G$14)+('Unit costs'!$E137*'Financial impact (cash)'!G$16)+('Unit costs'!$F137*'Financial impact (cash)'!G$17)+('Unit costs'!$D137*'Financial impact (cash)'!G$15)+('Unit costs'!$G137*'Financial impact (cash)'!G$18)</f>
        <v>344.45539849375257</v>
      </c>
      <c r="H210" s="128">
        <f>('Unit costs'!$C137*'Financial impact (cash)'!H$14)+('Unit costs'!$E137*'Financial impact (cash)'!H$16)+('Unit costs'!$F137*'Financial impact (cash)'!H$17)+('Unit costs'!$D137*'Financial impact (cash)'!H$15)+('Unit costs'!$G137*'Financial impact (cash)'!H$18)</f>
        <v>354.06023225392426</v>
      </c>
      <c r="I210" s="128">
        <f>('Unit costs'!$C137*'Financial impact (cash)'!I$14)+('Unit costs'!$E137*'Financial impact (cash)'!I$16)+('Unit costs'!$F137*'Financial impact (cash)'!I$17)+('Unit costs'!$D137*'Financial impact (cash)'!I$15)+('Unit costs'!$G137*'Financial impact (cash)'!I$18)</f>
        <v>357.4740128439505</v>
      </c>
      <c r="J210" s="297"/>
      <c r="K210" s="297"/>
      <c r="L210" s="299">
        <f>(D210*'Unit costs'!$I137)/1000</f>
        <v>275.91210184333477</v>
      </c>
      <c r="M210" s="299">
        <f>(E210*'Unit costs'!$I137)/1000</f>
        <v>281.24098228706663</v>
      </c>
      <c r="N210" s="299">
        <f>(F210*'Unit costs'!$I137)/1000</f>
        <v>289.95383681101117</v>
      </c>
      <c r="O210" s="299">
        <f>(G210*'Unit costs'!$I137)/1000</f>
        <v>298.13627120919341</v>
      </c>
      <c r="P210" s="299">
        <f>(H210*'Unit costs'!$I137)/1000</f>
        <v>306.4495371221783</v>
      </c>
      <c r="Q210" s="299">
        <f>(I210*'Unit costs'!$I137)/1000</f>
        <v>309.40426455652045</v>
      </c>
      <c r="R210" s="711"/>
      <c r="S210" s="133"/>
      <c r="T210" s="133"/>
      <c r="U210" s="133"/>
      <c r="V210" s="133"/>
      <c r="W210" s="133"/>
      <c r="X210" s="133"/>
      <c r="Y210" s="133"/>
      <c r="Z210" s="133"/>
      <c r="AJ210" s="292"/>
      <c r="AK210" s="292"/>
      <c r="AL210" s="292"/>
      <c r="AM210" s="292"/>
      <c r="AN210" s="292"/>
    </row>
    <row r="211" spans="1:40" x14ac:dyDescent="0.25">
      <c r="A211" s="297"/>
      <c r="B211" s="253" t="s">
        <v>1107</v>
      </c>
      <c r="C211" s="168"/>
      <c r="D211" s="128">
        <f>('Unit costs'!$C138*'Financial impact (cash)'!D$14)+('Unit costs'!$E138*'Financial impact (cash)'!D$16)+('Unit costs'!$F138*'Financial impact (cash)'!D$17)+('Unit costs'!$D138*'Financial impact (cash)'!D$15)+('Unit costs'!$G138*'Financial impact (cash)'!D$18)</f>
        <v>0</v>
      </c>
      <c r="E211" s="128">
        <f>('Unit costs'!$C138*'Financial impact (cash)'!E$14)+('Unit costs'!$E138*'Financial impact (cash)'!E$16)+('Unit costs'!$F138*'Financial impact (cash)'!E$17)+('Unit costs'!$D138*'Financial impact (cash)'!E$15)+('Unit costs'!$G138*'Financial impact (cash)'!E$18)</f>
        <v>9.7755717251494278</v>
      </c>
      <c r="F211" s="128">
        <f>('Unit costs'!$C138*'Financial impact (cash)'!F$14)+('Unit costs'!$E138*'Financial impact (cash)'!F$16)+('Unit costs'!$F138*'Financial impact (cash)'!F$17)+('Unit costs'!$D138*'Financial impact (cash)'!F$15)+('Unit costs'!$G138*'Financial impact (cash)'!F$18)</f>
        <v>21.508324613425</v>
      </c>
      <c r="G211" s="128">
        <f>('Unit costs'!$C138*'Financial impact (cash)'!G$14)+('Unit costs'!$E138*'Financial impact (cash)'!G$16)+('Unit costs'!$F138*'Financial impact (cash)'!G$17)+('Unit costs'!$D138*'Financial impact (cash)'!G$15)+('Unit costs'!$G138*'Financial impact (cash)'!G$18)</f>
        <v>32.573555607328991</v>
      </c>
      <c r="H211" s="128">
        <f>('Unit costs'!$C138*'Financial impact (cash)'!H$14)+('Unit costs'!$E138*'Financial impact (cash)'!H$16)+('Unit costs'!$F138*'Financial impact (cash)'!H$17)+('Unit costs'!$D138*'Financial impact (cash)'!H$15)+('Unit costs'!$G138*'Financial impact (cash)'!H$18)</f>
        <v>43.850164745213924</v>
      </c>
      <c r="I211" s="128">
        <f>('Unit costs'!$C138*'Financial impact (cash)'!I$14)+('Unit costs'!$E138*'Financial impact (cash)'!I$16)+('Unit costs'!$F138*'Financial impact (cash)'!I$17)+('Unit costs'!$D138*'Financial impact (cash)'!I$15)+('Unit costs'!$G138*'Financial impact (cash)'!I$18)</f>
        <v>44.27295959094883</v>
      </c>
      <c r="J211" s="297"/>
      <c r="K211" s="297"/>
      <c r="L211" s="299">
        <f>(D211*'Unit costs'!$I138)/1000</f>
        <v>0</v>
      </c>
      <c r="M211" s="299">
        <f>(E211*'Unit costs'!$I138)/1000</f>
        <v>19.700362061416737</v>
      </c>
      <c r="N211" s="299">
        <f>(F211*'Unit costs'!$I138)/1000</f>
        <v>43.34496172012657</v>
      </c>
      <c r="O211" s="299">
        <f>(G211*'Unit costs'!$I138)/1000</f>
        <v>65.644328243345115</v>
      </c>
      <c r="P211" s="299">
        <f>(H211*'Unit costs'!$I138)/1000</f>
        <v>88.369677623155198</v>
      </c>
      <c r="Q211" s="299">
        <f>(I211*'Unit costs'!$I138)/1000</f>
        <v>89.221721040447107</v>
      </c>
      <c r="R211" s="711"/>
      <c r="S211" s="133"/>
      <c r="T211" s="133"/>
      <c r="U211" s="133"/>
      <c r="V211" s="133"/>
      <c r="W211" s="133"/>
      <c r="X211" s="133"/>
      <c r="Y211" s="133"/>
      <c r="Z211" s="133"/>
      <c r="AJ211" s="292"/>
      <c r="AK211" s="292"/>
      <c r="AL211" s="292"/>
      <c r="AM211" s="292"/>
      <c r="AN211" s="292"/>
    </row>
    <row r="212" spans="1:40" x14ac:dyDescent="0.25">
      <c r="A212" s="297"/>
      <c r="B212" s="253" t="s">
        <v>1108</v>
      </c>
      <c r="C212" s="168"/>
      <c r="D212" s="128">
        <f>('Unit costs'!$C139*'Financial impact (cash)'!D$14)+('Unit costs'!$E139*'Financial impact (cash)'!D$16)+('Unit costs'!$F139*'Financial impact (cash)'!D$17)+('Unit costs'!$D139*'Financial impact (cash)'!D$15)+('Unit costs'!$G139*'Financial impact (cash)'!D$18)</f>
        <v>0</v>
      </c>
      <c r="E212" s="128">
        <f>('Unit costs'!$C139*'Financial impact (cash)'!E$14)+('Unit costs'!$E139*'Financial impact (cash)'!E$16)+('Unit costs'!$F139*'Financial impact (cash)'!E$17)+('Unit costs'!$D139*'Financial impact (cash)'!E$15)+('Unit costs'!$G139*'Financial impact (cash)'!E$18)</f>
        <v>13.441411122080464</v>
      </c>
      <c r="F212" s="128">
        <f>('Unit costs'!$C139*'Financial impact (cash)'!F$14)+('Unit costs'!$E139*'Financial impact (cash)'!F$16)+('Unit costs'!$F139*'Financial impact (cash)'!F$17)+('Unit costs'!$D139*'Financial impact (cash)'!F$15)+('Unit costs'!$G139*'Financial impact (cash)'!F$18)</f>
        <v>29.573946343459376</v>
      </c>
      <c r="G212" s="128">
        <f>('Unit costs'!$C139*'Financial impact (cash)'!G$14)+('Unit costs'!$E139*'Financial impact (cash)'!G$16)+('Unit costs'!$F139*'Financial impact (cash)'!G$17)+('Unit costs'!$D139*'Financial impact (cash)'!G$15)+('Unit costs'!$G139*'Financial impact (cash)'!G$18)</f>
        <v>44.788638960077364</v>
      </c>
      <c r="H212" s="128">
        <f>('Unit costs'!$C139*'Financial impact (cash)'!H$14)+('Unit costs'!$E139*'Financial impact (cash)'!H$16)+('Unit costs'!$F139*'Financial impact (cash)'!H$17)+('Unit costs'!$D139*'Financial impact (cash)'!H$15)+('Unit costs'!$G139*'Financial impact (cash)'!H$18)</f>
        <v>60.293976524669141</v>
      </c>
      <c r="I212" s="128">
        <f>('Unit costs'!$C139*'Financial impact (cash)'!I$14)+('Unit costs'!$E139*'Financial impact (cash)'!I$16)+('Unit costs'!$F139*'Financial impact (cash)'!I$17)+('Unit costs'!$D139*'Financial impact (cash)'!I$15)+('Unit costs'!$G139*'Financial impact (cash)'!I$18)</f>
        <v>60.875319437554644</v>
      </c>
      <c r="J212" s="297"/>
      <c r="K212" s="297"/>
      <c r="L212" s="299">
        <f>(D212*'Unit costs'!$I139)/1000</f>
        <v>0</v>
      </c>
      <c r="M212" s="299">
        <f>(E212*'Unit costs'!$I139)/1000</f>
        <v>10.982680831772024</v>
      </c>
      <c r="N212" s="299">
        <f>(F212*'Unit costs'!$I139)/1000</f>
        <v>24.16421986324103</v>
      </c>
      <c r="O212" s="299">
        <f>(G212*'Unit costs'!$I139)/1000</f>
        <v>36.595809928017665</v>
      </c>
      <c r="P212" s="299">
        <f>(H212*'Unit costs'!$I139)/1000</f>
        <v>49.264879575106868</v>
      </c>
      <c r="Q212" s="299">
        <f>(I212*'Unit costs'!$I139)/1000</f>
        <v>49.739882058703692</v>
      </c>
      <c r="R212" s="711"/>
      <c r="S212" s="133"/>
      <c r="T212" s="133"/>
      <c r="U212" s="133"/>
      <c r="V212" s="133"/>
      <c r="W212" s="133"/>
      <c r="X212" s="133"/>
      <c r="Y212" s="133"/>
      <c r="Z212" s="133"/>
      <c r="AJ212" s="292"/>
      <c r="AK212" s="292"/>
      <c r="AL212" s="292"/>
      <c r="AM212" s="292"/>
      <c r="AN212" s="292"/>
    </row>
    <row r="213" spans="1:40" x14ac:dyDescent="0.25">
      <c r="A213" s="297"/>
      <c r="B213" s="253" t="s">
        <v>1109</v>
      </c>
      <c r="C213" s="168"/>
      <c r="D213" s="128">
        <f>('Unit costs'!$C140*'Financial impact (cash)'!D$14)+('Unit costs'!$E140*'Financial impact (cash)'!D$16)+('Unit costs'!$F140*'Financial impact (cash)'!D$17)+('Unit costs'!$D140*'Financial impact (cash)'!D$15)+('Unit costs'!$G140*'Financial impact (cash)'!D$18)</f>
        <v>37.373765284947964</v>
      </c>
      <c r="E213" s="128">
        <f>('Unit costs'!$C140*'Financial impact (cash)'!E$14)+('Unit costs'!$E140*'Financial impact (cash)'!E$16)+('Unit costs'!$F140*'Financial impact (cash)'!E$17)+('Unit costs'!$D140*'Financial impact (cash)'!E$15)+('Unit costs'!$G140*'Financial impact (cash)'!E$18)</f>
        <v>44.79477333587355</v>
      </c>
      <c r="F213" s="128">
        <f>('Unit costs'!$C140*'Financial impact (cash)'!F$14)+('Unit costs'!$E140*'Financial impact (cash)'!F$16)+('Unit costs'!$F140*'Financial impact (cash)'!F$17)+('Unit costs'!$D140*'Financial impact (cash)'!F$15)+('Unit costs'!$G140*'Financial impact (cash)'!F$18)</f>
        <v>56.918087975375769</v>
      </c>
      <c r="G213" s="128">
        <f>('Unit costs'!$C140*'Financial impact (cash)'!G$14)+('Unit costs'!$E140*'Financial impact (cash)'!G$16)+('Unit costs'!$F140*'Financial impact (cash)'!G$17)+('Unit costs'!$D140*'Financial impact (cash)'!G$15)+('Unit costs'!$G140*'Financial impact (cash)'!G$18)</f>
        <v>68.099016406934822</v>
      </c>
      <c r="H213" s="128">
        <f>('Unit costs'!$C140*'Financial impact (cash)'!H$14)+('Unit costs'!$E140*'Financial impact (cash)'!H$16)+('Unit costs'!$F140*'Financial impact (cash)'!H$17)+('Unit costs'!$D140*'Financial impact (cash)'!H$15)+('Unit costs'!$G140*'Financial impact (cash)'!H$18)</f>
        <v>79.49026219809366</v>
      </c>
      <c r="I213" s="128">
        <f>('Unit costs'!$C140*'Financial impact (cash)'!I$14)+('Unit costs'!$E140*'Financial impact (cash)'!I$16)+('Unit costs'!$F140*'Financial impact (cash)'!I$17)+('Unit costs'!$D140*'Financial impact (cash)'!I$15)+('Unit costs'!$G140*'Financial impact (cash)'!I$18)</f>
        <v>80.256692001464884</v>
      </c>
      <c r="J213" s="297"/>
      <c r="K213" s="297"/>
      <c r="L213" s="299">
        <f>(D213*'Unit costs'!$I140)/1000</f>
        <v>53.162802284957152</v>
      </c>
      <c r="M213" s="299">
        <f>(E213*'Unit costs'!$I140)/1000</f>
        <v>63.718912453640719</v>
      </c>
      <c r="N213" s="299">
        <f>(F213*'Unit costs'!$I140)/1000</f>
        <v>80.963880262055653</v>
      </c>
      <c r="O213" s="299">
        <f>(G213*'Unit costs'!$I140)/1000</f>
        <v>96.868338457190319</v>
      </c>
      <c r="P213" s="299">
        <f>(H213*'Unit costs'!$I140)/1000</f>
        <v>113.07196533710291</v>
      </c>
      <c r="Q213" s="299">
        <f>(I213*'Unit costs'!$I140)/1000</f>
        <v>114.16218345645129</v>
      </c>
      <c r="R213" s="711"/>
      <c r="S213" s="133"/>
      <c r="T213" s="133"/>
      <c r="U213" s="133"/>
      <c r="V213" s="133"/>
      <c r="W213" s="133"/>
      <c r="X213" s="133"/>
      <c r="Y213" s="133"/>
      <c r="Z213" s="133"/>
      <c r="AJ213" s="292"/>
      <c r="AK213" s="292"/>
      <c r="AL213" s="292"/>
      <c r="AM213" s="292"/>
      <c r="AN213" s="292"/>
    </row>
    <row r="214" spans="1:40" x14ac:dyDescent="0.25">
      <c r="A214" s="297"/>
      <c r="B214" s="253" t="s">
        <v>1110</v>
      </c>
      <c r="C214" s="168"/>
      <c r="D214" s="128">
        <f>('Unit costs'!$C141*'Financial impact (cash)'!D$14)+('Unit costs'!$E141*'Financial impact (cash)'!D$16)+('Unit costs'!$F141*'Financial impact (cash)'!D$17)+('Unit costs'!$D141*'Financial impact (cash)'!D$15)+('Unit costs'!$G141*'Financial impact (cash)'!D$18)</f>
        <v>62.945288900964997</v>
      </c>
      <c r="E214" s="128">
        <f>('Unit costs'!$C141*'Financial impact (cash)'!E$14)+('Unit costs'!$E141*'Financial impact (cash)'!E$16)+('Unit costs'!$F141*'Financial impact (cash)'!E$17)+('Unit costs'!$D141*'Financial impact (cash)'!E$15)+('Unit costs'!$G141*'Financial impact (cash)'!E$18)</f>
        <v>77.952034679371437</v>
      </c>
      <c r="F214" s="128">
        <f>('Unit costs'!$C141*'Financial impact (cash)'!F$14)+('Unit costs'!$E141*'Financial impact (cash)'!F$16)+('Unit costs'!$F141*'Financial impact (cash)'!F$17)+('Unit costs'!$D141*'Financial impact (cash)'!F$15)+('Unit costs'!$G141*'Financial impact (cash)'!F$18)</f>
        <v>101.38062619486693</v>
      </c>
      <c r="G214" s="128">
        <f>('Unit costs'!$C141*'Financial impact (cash)'!G$14)+('Unit costs'!$E141*'Financial impact (cash)'!G$16)+('Unit costs'!$F141*'Financial impact (cash)'!G$17)+('Unit costs'!$D141*'Financial impact (cash)'!G$15)+('Unit costs'!$G141*'Financial impact (cash)'!G$18)</f>
        <v>123.05076887408651</v>
      </c>
      <c r="H214" s="128">
        <f>('Unit costs'!$C141*'Financial impact (cash)'!H$14)+('Unit costs'!$E141*'Financial impact (cash)'!H$16)+('Unit costs'!$F141*'Financial impact (cash)'!H$17)+('Unit costs'!$D141*'Financial impact (cash)'!H$15)+('Unit costs'!$G141*'Financial impact (cash)'!H$18)</f>
        <v>145.12936544589024</v>
      </c>
      <c r="I214" s="128">
        <f>('Unit costs'!$C141*'Financial impact (cash)'!I$14)+('Unit costs'!$E141*'Financial impact (cash)'!I$16)+('Unit costs'!$F141*'Financial impact (cash)'!I$17)+('Unit costs'!$D141*'Financial impact (cash)'!I$15)+('Unit costs'!$G141*'Financial impact (cash)'!I$18)</f>
        <v>146.52867484488166</v>
      </c>
      <c r="J214" s="297"/>
      <c r="K214" s="297"/>
      <c r="L214" s="299">
        <f>(D214*'Unit costs'!$I141)/1000</f>
        <v>126.85140227852317</v>
      </c>
      <c r="M214" s="299">
        <f>(E214*'Unit costs'!$I141)/1000</f>
        <v>157.09396337985095</v>
      </c>
      <c r="N214" s="299">
        <f>(F214*'Unit costs'!$I141)/1000</f>
        <v>204.30877069970032</v>
      </c>
      <c r="O214" s="299">
        <f>(G214*'Unit costs'!$I141)/1000</f>
        <v>247.97983861329178</v>
      </c>
      <c r="P214" s="299">
        <f>(H214*'Unit costs'!$I141)/1000</f>
        <v>292.47404913127957</v>
      </c>
      <c r="Q214" s="299">
        <f>(I214*'Unit costs'!$I141)/1000</f>
        <v>295.29402760119899</v>
      </c>
      <c r="R214" s="711"/>
      <c r="S214" s="133"/>
      <c r="T214" s="133"/>
      <c r="U214" s="133"/>
      <c r="V214" s="133"/>
      <c r="W214" s="133"/>
      <c r="X214" s="133"/>
      <c r="Y214" s="133"/>
      <c r="Z214" s="133"/>
      <c r="AJ214" s="292"/>
      <c r="AK214" s="292"/>
      <c r="AL214" s="292"/>
      <c r="AM214" s="292"/>
      <c r="AN214" s="292"/>
    </row>
    <row r="215" spans="1:40" x14ac:dyDescent="0.25">
      <c r="A215" s="297"/>
      <c r="B215" s="253" t="s">
        <v>1111</v>
      </c>
      <c r="C215" s="168"/>
      <c r="D215" s="128">
        <f>('Unit costs'!$C142*'Financial impact (cash)'!D$14)+('Unit costs'!$E142*'Financial impact (cash)'!D$16)+('Unit costs'!$F142*'Financial impact (cash)'!D$17)+('Unit costs'!$D142*'Financial impact (cash)'!D$15)+('Unit costs'!$G142*'Financial impact (cash)'!D$18)</f>
        <v>0</v>
      </c>
      <c r="E215" s="128">
        <f>('Unit costs'!$C142*'Financial impact (cash)'!E$14)+('Unit costs'!$E142*'Financial impact (cash)'!E$16)+('Unit costs'!$F142*'Financial impact (cash)'!E$17)+('Unit costs'!$D142*'Financial impact (cash)'!E$15)+('Unit costs'!$G142*'Financial impact (cash)'!E$18)</f>
        <v>0.61097323282183924</v>
      </c>
      <c r="F215" s="128">
        <f>('Unit costs'!$C142*'Financial impact (cash)'!F$14)+('Unit costs'!$E142*'Financial impact (cash)'!F$16)+('Unit costs'!$F142*'Financial impact (cash)'!F$17)+('Unit costs'!$D142*'Financial impact (cash)'!F$15)+('Unit costs'!$G142*'Financial impact (cash)'!F$18)</f>
        <v>1.3442702883390625</v>
      </c>
      <c r="G215" s="128">
        <f>('Unit costs'!$C142*'Financial impact (cash)'!G$14)+('Unit costs'!$E142*'Financial impact (cash)'!G$16)+('Unit costs'!$F142*'Financial impact (cash)'!G$17)+('Unit costs'!$D142*'Financial impact (cash)'!G$15)+('Unit costs'!$G142*'Financial impact (cash)'!G$18)</f>
        <v>2.035847225458062</v>
      </c>
      <c r="H215" s="128">
        <f>('Unit costs'!$C142*'Financial impact (cash)'!H$14)+('Unit costs'!$E142*'Financial impact (cash)'!H$16)+('Unit costs'!$F142*'Financial impact (cash)'!H$17)+('Unit costs'!$D142*'Financial impact (cash)'!H$15)+('Unit costs'!$G142*'Financial impact (cash)'!H$18)</f>
        <v>2.7406352965758702</v>
      </c>
      <c r="I215" s="128">
        <f>('Unit costs'!$C142*'Financial impact (cash)'!I$14)+('Unit costs'!$E142*'Financial impact (cash)'!I$16)+('Unit costs'!$F142*'Financial impact (cash)'!I$17)+('Unit costs'!$D142*'Financial impact (cash)'!I$15)+('Unit costs'!$G142*'Financial impact (cash)'!I$18)</f>
        <v>2.7670599744343019</v>
      </c>
      <c r="J215" s="297"/>
      <c r="K215" s="297"/>
      <c r="L215" s="299">
        <f>(D215*'Unit costs'!$I142)/1000</f>
        <v>0</v>
      </c>
      <c r="M215" s="299">
        <f>(E215*'Unit costs'!$I142)/1000</f>
        <v>0.70274448103582809</v>
      </c>
      <c r="N215" s="299">
        <f>(F215*'Unit costs'!$I142)/1000</f>
        <v>1.5461864373135104</v>
      </c>
      <c r="O215" s="299">
        <f>(G215*'Unit costs'!$I142)/1000</f>
        <v>2.3416417038681385</v>
      </c>
      <c r="P215" s="299">
        <f>(H215*'Unit costs'!$I142)/1000</f>
        <v>3.1522924831017884</v>
      </c>
      <c r="Q215" s="299">
        <f>(I215*'Unit costs'!$I142)/1000</f>
        <v>3.1826862802938458</v>
      </c>
      <c r="R215" s="711"/>
      <c r="S215" s="133"/>
      <c r="T215" s="133"/>
      <c r="U215" s="133"/>
      <c r="V215" s="133"/>
      <c r="W215" s="133"/>
      <c r="X215" s="133"/>
      <c r="Y215" s="133"/>
      <c r="Z215" s="133"/>
      <c r="AJ215" s="292"/>
      <c r="AK215" s="292"/>
      <c r="AL215" s="292"/>
      <c r="AM215" s="292"/>
      <c r="AN215" s="292"/>
    </row>
    <row r="216" spans="1:40" x14ac:dyDescent="0.25">
      <c r="A216" s="297"/>
      <c r="B216" s="253" t="s">
        <v>1112</v>
      </c>
      <c r="C216" s="168"/>
      <c r="D216" s="128">
        <f>('Unit costs'!$C143*'Financial impact (cash)'!D$14)+('Unit costs'!$E143*'Financial impact (cash)'!D$16)+('Unit costs'!$F143*'Financial impact (cash)'!D$17)+('Unit costs'!$D143*'Financial impact (cash)'!D$15)+('Unit costs'!$G143*'Financial impact (cash)'!D$18)</f>
        <v>173.9232715211941</v>
      </c>
      <c r="E216" s="128">
        <f>('Unit costs'!$C143*'Financial impact (cash)'!E$14)+('Unit costs'!$E143*'Financial impact (cash)'!E$16)+('Unit costs'!$F143*'Financial impact (cash)'!E$17)+('Unit costs'!$D143*'Financial impact (cash)'!E$15)+('Unit costs'!$G143*'Financial impact (cash)'!E$18)</f>
        <v>174.26676708518372</v>
      </c>
      <c r="F216" s="128">
        <f>('Unit costs'!$C143*'Financial impact (cash)'!F$14)+('Unit costs'!$E143*'Financial impact (cash)'!F$16)+('Unit costs'!$F143*'Financial impact (cash)'!F$17)+('Unit costs'!$D143*'Financial impact (cash)'!F$15)+('Unit costs'!$G143*'Financial impact (cash)'!F$18)</f>
        <v>183.78873544042094</v>
      </c>
      <c r="G216" s="128">
        <f>('Unit costs'!$C143*'Financial impact (cash)'!G$14)+('Unit costs'!$E143*'Financial impact (cash)'!G$16)+('Unit costs'!$F143*'Financial impact (cash)'!G$17)+('Unit costs'!$D143*'Financial impact (cash)'!G$15)+('Unit costs'!$G143*'Financial impact (cash)'!G$18)</f>
        <v>192.09370606695887</v>
      </c>
      <c r="H216" s="128">
        <f>('Unit costs'!$C143*'Financial impact (cash)'!H$14)+('Unit costs'!$E143*'Financial impact (cash)'!H$16)+('Unit costs'!$F143*'Financial impact (cash)'!H$17)+('Unit costs'!$D143*'Financial impact (cash)'!H$15)+('Unit costs'!$G143*'Financial impact (cash)'!H$18)</f>
        <v>200.54174073012442</v>
      </c>
      <c r="I216" s="128">
        <f>('Unit costs'!$C143*'Financial impact (cash)'!I$14)+('Unit costs'!$E143*'Financial impact (cash)'!I$16)+('Unit costs'!$F143*'Financial impact (cash)'!I$17)+('Unit costs'!$D143*'Financial impact (cash)'!I$15)+('Unit costs'!$G143*'Financial impact (cash)'!I$18)</f>
        <v>202.47532558272539</v>
      </c>
      <c r="J216" s="297"/>
      <c r="K216" s="297"/>
      <c r="L216" s="299">
        <f>(D216*'Unit costs'!$I143)/1000</f>
        <v>133.93793303222691</v>
      </c>
      <c r="M216" s="299">
        <f>(E216*'Unit costs'!$I143)/1000</f>
        <v>134.20245821878825</v>
      </c>
      <c r="N216" s="299">
        <f>(F216*'Unit costs'!$I143)/1000</f>
        <v>141.53530533432414</v>
      </c>
      <c r="O216" s="299">
        <f>(G216*'Unit costs'!$I143)/1000</f>
        <v>147.93094514654038</v>
      </c>
      <c r="P216" s="299">
        <f>(H216*'Unit costs'!$I143)/1000</f>
        <v>154.43675826213092</v>
      </c>
      <c r="Q216" s="299">
        <f>(I216*'Unit costs'!$I143)/1000</f>
        <v>155.92580775064772</v>
      </c>
      <c r="R216" s="711"/>
      <c r="S216" s="133"/>
      <c r="T216" s="133"/>
      <c r="U216" s="133"/>
      <c r="V216" s="133"/>
      <c r="W216" s="133"/>
      <c r="X216" s="133"/>
      <c r="Y216" s="133"/>
      <c r="Z216" s="133"/>
      <c r="AJ216" s="292"/>
      <c r="AK216" s="292"/>
      <c r="AL216" s="292"/>
      <c r="AM216" s="292"/>
      <c r="AN216" s="292"/>
    </row>
    <row r="217" spans="1:40" x14ac:dyDescent="0.25">
      <c r="A217" s="297"/>
      <c r="B217" s="253" t="s">
        <v>1113</v>
      </c>
      <c r="C217" s="168"/>
      <c r="D217" s="128">
        <f>('Unit costs'!$C144*'Financial impact (cash)'!D$14)+('Unit costs'!$E144*'Financial impact (cash)'!D$16)+('Unit costs'!$F144*'Financial impact (cash)'!D$17)+('Unit costs'!$D144*'Financial impact (cash)'!D$15)+('Unit costs'!$G144*'Financial impact (cash)'!D$18)</f>
        <v>0</v>
      </c>
      <c r="E217" s="128">
        <f>('Unit costs'!$C144*'Financial impact (cash)'!E$14)+('Unit costs'!$E144*'Financial impact (cash)'!E$16)+('Unit costs'!$F144*'Financial impact (cash)'!E$17)+('Unit costs'!$D144*'Financial impact (cash)'!E$15)+('Unit costs'!$G144*'Financial impact (cash)'!E$18)</f>
        <v>6.7207055610402318</v>
      </c>
      <c r="F217" s="128">
        <f>('Unit costs'!$C144*'Financial impact (cash)'!F$14)+('Unit costs'!$E144*'Financial impact (cash)'!F$16)+('Unit costs'!$F144*'Financial impact (cash)'!F$17)+('Unit costs'!$D144*'Financial impact (cash)'!F$15)+('Unit costs'!$G144*'Financial impact (cash)'!F$18)</f>
        <v>14.786973171729688</v>
      </c>
      <c r="G217" s="128">
        <f>('Unit costs'!$C144*'Financial impact (cash)'!G$14)+('Unit costs'!$E144*'Financial impact (cash)'!G$16)+('Unit costs'!$F144*'Financial impact (cash)'!G$17)+('Unit costs'!$D144*'Financial impact (cash)'!G$15)+('Unit costs'!$G144*'Financial impact (cash)'!G$18)</f>
        <v>22.394319480038682</v>
      </c>
      <c r="H217" s="128">
        <f>('Unit costs'!$C144*'Financial impact (cash)'!H$14)+('Unit costs'!$E144*'Financial impact (cash)'!H$16)+('Unit costs'!$F144*'Financial impact (cash)'!H$17)+('Unit costs'!$D144*'Financial impact (cash)'!H$15)+('Unit costs'!$G144*'Financial impact (cash)'!H$18)</f>
        <v>30.14698826233457</v>
      </c>
      <c r="I217" s="128">
        <f>('Unit costs'!$C144*'Financial impact (cash)'!I$14)+('Unit costs'!$E144*'Financial impact (cash)'!I$16)+('Unit costs'!$F144*'Financial impact (cash)'!I$17)+('Unit costs'!$D144*'Financial impact (cash)'!I$15)+('Unit costs'!$G144*'Financial impact (cash)'!I$18)</f>
        <v>30.437659718777322</v>
      </c>
      <c r="J217" s="297"/>
      <c r="K217" s="297"/>
      <c r="L217" s="299">
        <f>(D217*'Unit costs'!$I144)/1000</f>
        <v>0</v>
      </c>
      <c r="M217" s="299">
        <f>(E217*'Unit costs'!$I144)/1000</f>
        <v>9.17711278476526</v>
      </c>
      <c r="N217" s="299">
        <f>(F217*'Unit costs'!$I144)/1000</f>
        <v>20.191588414305937</v>
      </c>
      <c r="O217" s="299">
        <f>(G217*'Unit costs'!$I144)/1000</f>
        <v>30.579407733281357</v>
      </c>
      <c r="P217" s="299">
        <f>(H217*'Unit costs'!$I144)/1000</f>
        <v>41.165664660008851</v>
      </c>
      <c r="Q217" s="299">
        <f>(I217*'Unit costs'!$I144)/1000</f>
        <v>41.562576072785312</v>
      </c>
      <c r="R217" s="711"/>
      <c r="S217" s="133"/>
      <c r="T217" s="133"/>
      <c r="U217" s="133"/>
      <c r="V217" s="133"/>
      <c r="W217" s="133"/>
      <c r="X217" s="133"/>
      <c r="Y217" s="133"/>
      <c r="Z217" s="133"/>
      <c r="AJ217" s="292"/>
      <c r="AK217" s="292"/>
      <c r="AL217" s="292"/>
      <c r="AM217" s="292"/>
      <c r="AN217" s="292"/>
    </row>
    <row r="218" spans="1:40" x14ac:dyDescent="0.25">
      <c r="A218" s="297"/>
      <c r="B218" s="253" t="s">
        <v>1114</v>
      </c>
      <c r="C218" s="168"/>
      <c r="D218" s="128">
        <f>('Unit costs'!$C145*'Financial impact (cash)'!D$14)+('Unit costs'!$E145*'Financial impact (cash)'!D$16)+('Unit costs'!$F145*'Financial impact (cash)'!D$17)+('Unit costs'!$D145*'Financial impact (cash)'!D$15)+('Unit costs'!$G145*'Financial impact (cash)'!D$18)</f>
        <v>7.222394109856943E-2</v>
      </c>
      <c r="E218" s="128">
        <f>('Unit costs'!$C145*'Financial impact (cash)'!E$14)+('Unit costs'!$E145*'Financial impact (cash)'!E$16)+('Unit costs'!$F145*'Financial impact (cash)'!E$17)+('Unit costs'!$D145*'Financial impact (cash)'!E$15)+('Unit costs'!$G145*'Financial impact (cash)'!E$18)</f>
        <v>0.68218910894508855</v>
      </c>
      <c r="F218" s="128">
        <f>('Unit costs'!$C145*'Financial impact (cash)'!F$14)+('Unit costs'!$E145*'Financial impact (cash)'!F$16)+('Unit costs'!$F145*'Financial impact (cash)'!F$17)+('Unit costs'!$D145*'Financial impact (cash)'!F$15)+('Unit costs'!$G145*'Financial impact (cash)'!F$18)</f>
        <v>1.4204921550957359</v>
      </c>
      <c r="G218" s="128">
        <f>('Unit costs'!$C145*'Financial impact (cash)'!G$14)+('Unit costs'!$E145*'Financial impact (cash)'!G$16)+('Unit costs'!$F145*'Financial impact (cash)'!G$17)+('Unit costs'!$D145*'Financial impact (cash)'!G$15)+('Unit costs'!$G145*'Financial impact (cash)'!G$18)</f>
        <v>2.116302044384021</v>
      </c>
      <c r="H218" s="128">
        <f>('Unit costs'!$C145*'Financial impact (cash)'!H$14)+('Unit costs'!$E145*'Financial impact (cash)'!H$16)+('Unit costs'!$F145*'Financial impact (cash)'!H$17)+('Unit costs'!$D145*'Financial impact (cash)'!H$15)+('Unit costs'!$G145*'Financial impact (cash)'!H$18)</f>
        <v>2.8253976083667451</v>
      </c>
      <c r="I218" s="128">
        <f>('Unit costs'!$C145*'Financial impact (cash)'!I$14)+('Unit costs'!$E145*'Financial impact (cash)'!I$16)+('Unit costs'!$F145*'Financial impact (cash)'!I$17)+('Unit costs'!$D145*'Financial impact (cash)'!I$15)+('Unit costs'!$G145*'Financial impact (cash)'!I$18)</f>
        <v>2.8526395481156612</v>
      </c>
      <c r="J218" s="297"/>
      <c r="K218" s="297"/>
      <c r="L218" s="299">
        <f>(D218*'Unit costs'!$I145)/1000</f>
        <v>9.8621677025116566E-2</v>
      </c>
      <c r="M218" s="299">
        <f>(E218*'Unit costs'!$I145)/1000</f>
        <v>0.93152814633328285</v>
      </c>
      <c r="N218" s="299">
        <f>(F218*'Unit costs'!$I145)/1000</f>
        <v>1.9396797849257539</v>
      </c>
      <c r="O218" s="299">
        <f>(G218*'Unit costs'!$I145)/1000</f>
        <v>2.8898070852155269</v>
      </c>
      <c r="P218" s="299">
        <f>(H218*'Unit costs'!$I145)/1000</f>
        <v>3.8580759532298798</v>
      </c>
      <c r="Q218" s="299">
        <f>(I218*'Unit costs'!$I145)/1000</f>
        <v>3.8952747787521345</v>
      </c>
      <c r="R218" s="711"/>
      <c r="S218" s="133"/>
      <c r="T218" s="133"/>
      <c r="U218" s="133"/>
      <c r="V218" s="133"/>
      <c r="W218" s="133"/>
      <c r="X218" s="133"/>
      <c r="Y218" s="133"/>
      <c r="Z218" s="133"/>
      <c r="AJ218" s="292"/>
      <c r="AK218" s="292"/>
      <c r="AL218" s="292"/>
      <c r="AM218" s="292"/>
      <c r="AN218" s="292"/>
    </row>
    <row r="219" spans="1:40" x14ac:dyDescent="0.25">
      <c r="A219" s="297"/>
      <c r="B219" s="253" t="s">
        <v>1115</v>
      </c>
      <c r="C219" s="168"/>
      <c r="D219" s="128">
        <f>('Unit costs'!$C146*'Financial impact (cash)'!D$14)+('Unit costs'!$E146*'Financial impact (cash)'!D$16)+('Unit costs'!$F146*'Financial impact (cash)'!D$17)+('Unit costs'!$D146*'Financial impact (cash)'!D$15)+('Unit costs'!$G146*'Financial impact (cash)'!D$18)</f>
        <v>61.693827936804944</v>
      </c>
      <c r="E219" s="128">
        <f>('Unit costs'!$C146*'Financial impact (cash)'!E$14)+('Unit costs'!$E146*'Financial impact (cash)'!E$16)+('Unit costs'!$F146*'Financial impact (cash)'!E$17)+('Unit costs'!$D146*'Financial impact (cash)'!E$15)+('Unit costs'!$G146*'Financial impact (cash)'!E$18)</f>
        <v>61.695423933247774</v>
      </c>
      <c r="F219" s="128">
        <f>('Unit costs'!$C146*'Financial impact (cash)'!F$14)+('Unit costs'!$E146*'Financial impact (cash)'!F$16)+('Unit costs'!$F146*'Financial impact (cash)'!F$17)+('Unit costs'!$D146*'Financial impact (cash)'!F$15)+('Unit costs'!$G146*'Financial impact (cash)'!F$18)</f>
        <v>57.557227610914545</v>
      </c>
      <c r="G219" s="128">
        <f>('Unit costs'!$C146*'Financial impact (cash)'!G$14)+('Unit costs'!$E146*'Financial impact (cash)'!G$16)+('Unit costs'!$F146*'Financial impact (cash)'!G$17)+('Unit costs'!$D146*'Financial impact (cash)'!G$15)+('Unit costs'!$G146*'Financial impact (cash)'!G$18)</f>
        <v>54.044604202786843</v>
      </c>
      <c r="H219" s="128">
        <f>('Unit costs'!$C146*'Financial impact (cash)'!H$14)+('Unit costs'!$E146*'Financial impact (cash)'!H$16)+('Unit costs'!$F146*'Financial impact (cash)'!H$17)+('Unit costs'!$D146*'Financial impact (cash)'!H$15)+('Unit costs'!$G146*'Financial impact (cash)'!H$18)</f>
        <v>50.458893941394408</v>
      </c>
      <c r="I219" s="128">
        <f>('Unit costs'!$C146*'Financial impact (cash)'!I$14)+('Unit costs'!$E146*'Financial impact (cash)'!I$16)+('Unit costs'!$F146*'Financial impact (cash)'!I$17)+('Unit costs'!$D146*'Financial impact (cash)'!I$15)+('Unit costs'!$G146*'Financial impact (cash)'!I$18)</f>
        <v>50.945408881620139</v>
      </c>
      <c r="J219" s="297"/>
      <c r="K219" s="297"/>
      <c r="L219" s="299">
        <f>(D219*'Unit costs'!$I146)/1000</f>
        <v>84.24282420316726</v>
      </c>
      <c r="M219" s="299">
        <f>(E219*'Unit costs'!$I146)/1000</f>
        <v>84.245003533778743</v>
      </c>
      <c r="N219" s="299">
        <f>(F219*'Unit costs'!$I146)/1000</f>
        <v>78.59430301868656</v>
      </c>
      <c r="O219" s="299">
        <f>(G219*'Unit costs'!$I146)/1000</f>
        <v>73.797821325802374</v>
      </c>
      <c r="P219" s="299">
        <f>(H219*'Unit costs'!$I146)/1000</f>
        <v>68.901539650698723</v>
      </c>
      <c r="Q219" s="299">
        <f>(I219*'Unit costs'!$I146)/1000</f>
        <v>69.565875029979026</v>
      </c>
      <c r="R219" s="711"/>
      <c r="S219" s="133"/>
      <c r="T219" s="133"/>
      <c r="U219" s="133"/>
      <c r="V219" s="133"/>
      <c r="W219" s="133"/>
      <c r="X219" s="133"/>
      <c r="Y219" s="133"/>
      <c r="Z219" s="133"/>
      <c r="AJ219" s="292"/>
      <c r="AK219" s="292"/>
      <c r="AL219" s="292"/>
      <c r="AM219" s="292"/>
      <c r="AN219" s="292"/>
    </row>
    <row r="220" spans="1:40" x14ac:dyDescent="0.25">
      <c r="A220" s="297"/>
      <c r="B220" s="253" t="s">
        <v>1116</v>
      </c>
      <c r="C220" s="168"/>
      <c r="D220" s="128">
        <f>('Unit costs'!$C147*'Financial impact (cash)'!D$14)+('Unit costs'!$E147*'Financial impact (cash)'!D$16)+('Unit costs'!$F147*'Financial impact (cash)'!D$17)+('Unit costs'!$D147*'Financial impact (cash)'!D$15)+('Unit costs'!$G147*'Financial impact (cash)'!D$18)</f>
        <v>0</v>
      </c>
      <c r="E220" s="128">
        <f>('Unit costs'!$C147*'Financial impact (cash)'!E$14)+('Unit costs'!$E147*'Financial impact (cash)'!E$16)+('Unit costs'!$F147*'Financial impact (cash)'!E$17)+('Unit costs'!$D147*'Financial impact (cash)'!E$15)+('Unit costs'!$G147*'Financial impact (cash)'!E$18)</f>
        <v>2.443892931287357</v>
      </c>
      <c r="F220" s="128">
        <f>('Unit costs'!$C147*'Financial impact (cash)'!F$14)+('Unit costs'!$E147*'Financial impact (cash)'!F$16)+('Unit costs'!$F147*'Financial impact (cash)'!F$17)+('Unit costs'!$D147*'Financial impact (cash)'!F$15)+('Unit costs'!$G147*'Financial impact (cash)'!F$18)</f>
        <v>5.3770811533562499</v>
      </c>
      <c r="G220" s="128">
        <f>('Unit costs'!$C147*'Financial impact (cash)'!G$14)+('Unit costs'!$E147*'Financial impact (cash)'!G$16)+('Unit costs'!$F147*'Financial impact (cash)'!G$17)+('Unit costs'!$D147*'Financial impact (cash)'!G$15)+('Unit costs'!$G147*'Financial impact (cash)'!G$18)</f>
        <v>8.1433889018322478</v>
      </c>
      <c r="H220" s="128">
        <f>('Unit costs'!$C147*'Financial impact (cash)'!H$14)+('Unit costs'!$E147*'Financial impact (cash)'!H$16)+('Unit costs'!$F147*'Financial impact (cash)'!H$17)+('Unit costs'!$D147*'Financial impact (cash)'!H$15)+('Unit costs'!$G147*'Financial impact (cash)'!H$18)</f>
        <v>10.962541186303481</v>
      </c>
      <c r="I220" s="128">
        <f>('Unit costs'!$C147*'Financial impact (cash)'!I$14)+('Unit costs'!$E147*'Financial impact (cash)'!I$16)+('Unit costs'!$F147*'Financial impact (cash)'!I$17)+('Unit costs'!$D147*'Financial impact (cash)'!I$15)+('Unit costs'!$G147*'Financial impact (cash)'!I$18)</f>
        <v>11.068239897737207</v>
      </c>
      <c r="J220" s="297"/>
      <c r="K220" s="297"/>
      <c r="L220" s="299">
        <f>(D220*'Unit costs'!$I147)/1000</f>
        <v>0</v>
      </c>
      <c r="M220" s="299">
        <f>(E220*'Unit costs'!$I147)/1000</f>
        <v>3.9963215690145257</v>
      </c>
      <c r="N220" s="299">
        <f>(F220*'Unit costs'!$I147)/1000</f>
        <v>8.7927523814145463</v>
      </c>
      <c r="O220" s="299">
        <f>(G220*'Unit costs'!$I147)/1000</f>
        <v>13.316295610431222</v>
      </c>
      <c r="P220" s="299">
        <f>(H220*'Unit costs'!$I147)/1000</f>
        <v>17.926251691786351</v>
      </c>
      <c r="Q220" s="299">
        <f>(I220*'Unit costs'!$I147)/1000</f>
        <v>18.099093159148481</v>
      </c>
      <c r="R220" s="711"/>
      <c r="S220" s="133"/>
      <c r="T220" s="133"/>
      <c r="U220" s="133"/>
      <c r="V220" s="133"/>
      <c r="W220" s="133"/>
      <c r="X220" s="133"/>
      <c r="Y220" s="133"/>
      <c r="Z220" s="133"/>
      <c r="AJ220" s="292"/>
      <c r="AK220" s="292"/>
      <c r="AL220" s="292"/>
      <c r="AM220" s="292"/>
      <c r="AN220" s="292"/>
    </row>
    <row r="221" spans="1:40" x14ac:dyDescent="0.25">
      <c r="A221" s="297"/>
      <c r="B221" s="253" t="s">
        <v>1117</v>
      </c>
      <c r="C221" s="168"/>
      <c r="D221" s="128">
        <f>('Unit costs'!$C148*'Financial impact (cash)'!D$14)+('Unit costs'!$E148*'Financial impact (cash)'!D$16)+('Unit costs'!$F148*'Financial impact (cash)'!D$17)+('Unit costs'!$D148*'Financial impact (cash)'!D$15)+('Unit costs'!$G148*'Financial impact (cash)'!D$18)</f>
        <v>0</v>
      </c>
      <c r="E221" s="128">
        <f>('Unit costs'!$C148*'Financial impact (cash)'!E$14)+('Unit costs'!$E148*'Financial impact (cash)'!E$16)+('Unit costs'!$F148*'Financial impact (cash)'!E$17)+('Unit costs'!$D148*'Financial impact (cash)'!E$15)+('Unit costs'!$G148*'Financial impact (cash)'!E$18)</f>
        <v>9.1645984923275901</v>
      </c>
      <c r="F221" s="128">
        <f>('Unit costs'!$C148*'Financial impact (cash)'!F$14)+('Unit costs'!$E148*'Financial impact (cash)'!F$16)+('Unit costs'!$F148*'Financial impact (cash)'!F$17)+('Unit costs'!$D148*'Financial impact (cash)'!F$15)+('Unit costs'!$G148*'Financial impact (cash)'!F$18)</f>
        <v>20.164054325085939</v>
      </c>
      <c r="G221" s="128">
        <f>('Unit costs'!$C148*'Financial impact (cash)'!G$14)+('Unit costs'!$E148*'Financial impact (cash)'!G$16)+('Unit costs'!$F148*'Financial impact (cash)'!G$17)+('Unit costs'!$D148*'Financial impact (cash)'!G$15)+('Unit costs'!$G148*'Financial impact (cash)'!G$18)</f>
        <v>30.537708381870932</v>
      </c>
      <c r="H221" s="128">
        <f>('Unit costs'!$C148*'Financial impact (cash)'!H$14)+('Unit costs'!$E148*'Financial impact (cash)'!H$16)+('Unit costs'!$F148*'Financial impact (cash)'!H$17)+('Unit costs'!$D148*'Financial impact (cash)'!H$15)+('Unit costs'!$G148*'Financial impact (cash)'!H$18)</f>
        <v>41.109529448638057</v>
      </c>
      <c r="I221" s="128">
        <f>('Unit costs'!$C148*'Financial impact (cash)'!I$14)+('Unit costs'!$E148*'Financial impact (cash)'!I$16)+('Unit costs'!$F148*'Financial impact (cash)'!I$17)+('Unit costs'!$D148*'Financial impact (cash)'!I$15)+('Unit costs'!$G148*'Financial impact (cash)'!I$18)</f>
        <v>41.505899616514533</v>
      </c>
      <c r="J221" s="297"/>
      <c r="K221" s="297"/>
      <c r="L221" s="299">
        <f>(D221*'Unit costs'!$I148)/1000</f>
        <v>0</v>
      </c>
      <c r="M221" s="299">
        <f>(E221*'Unit costs'!$I148)/1000</f>
        <v>16.896258145836391</v>
      </c>
      <c r="N221" s="299">
        <f>(F221*'Unit costs'!$I148)/1000</f>
        <v>37.175340243060866</v>
      </c>
      <c r="O221" s="299">
        <f>(G221*'Unit costs'!$I148)/1000</f>
        <v>56.300666574135775</v>
      </c>
      <c r="P221" s="299">
        <f>(H221*'Unit costs'!$I148)/1000</f>
        <v>75.791342348445937</v>
      </c>
      <c r="Q221" s="299">
        <f>(I221*'Unit costs'!$I148)/1000</f>
        <v>76.522107878802359</v>
      </c>
      <c r="R221" s="711"/>
      <c r="S221" s="133"/>
      <c r="T221" s="133"/>
      <c r="U221" s="133"/>
      <c r="V221" s="133"/>
      <c r="W221" s="133"/>
      <c r="X221" s="133"/>
      <c r="Y221" s="133"/>
      <c r="Z221" s="133"/>
      <c r="AJ221" s="292"/>
      <c r="AK221" s="292"/>
      <c r="AL221" s="292"/>
      <c r="AM221" s="292"/>
      <c r="AN221" s="292"/>
    </row>
    <row r="222" spans="1:40" x14ac:dyDescent="0.25">
      <c r="A222" s="297"/>
      <c r="B222" s="253" t="s">
        <v>1118</v>
      </c>
      <c r="C222" s="168"/>
      <c r="D222" s="128">
        <f>('Unit costs'!$C149*'Financial impact (cash)'!D$14)+('Unit costs'!$E149*'Financial impact (cash)'!D$16)+('Unit costs'!$F149*'Financial impact (cash)'!D$17)+('Unit costs'!$D149*'Financial impact (cash)'!D$15)+('Unit costs'!$G149*'Financial impact (cash)'!D$18)</f>
        <v>185.0196928550223</v>
      </c>
      <c r="E222" s="128">
        <f>('Unit costs'!$C149*'Financial impact (cash)'!E$14)+('Unit costs'!$E149*'Financial impact (cash)'!E$16)+('Unit costs'!$F149*'Financial impact (cash)'!E$17)+('Unit costs'!$D149*'Financial impact (cash)'!E$15)+('Unit costs'!$G149*'Financial impact (cash)'!E$18)</f>
        <v>184.48979132547413</v>
      </c>
      <c r="F222" s="128">
        <f>('Unit costs'!$C149*'Financial impact (cash)'!F$14)+('Unit costs'!$E149*'Financial impact (cash)'!F$16)+('Unit costs'!$F149*'Financial impact (cash)'!F$17)+('Unit costs'!$D149*'Financial impact (cash)'!F$15)+('Unit costs'!$G149*'Financial impact (cash)'!F$18)</f>
        <v>175.01904125915067</v>
      </c>
      <c r="G222" s="128">
        <f>('Unit costs'!$C149*'Financial impact (cash)'!G$14)+('Unit costs'!$E149*'Financial impact (cash)'!G$16)+('Unit costs'!$F149*'Financial impact (cash)'!G$17)+('Unit costs'!$D149*'Financial impact (cash)'!G$15)+('Unit costs'!$G149*'Financial impact (cash)'!G$18)</f>
        <v>166.95121268646383</v>
      </c>
      <c r="H222" s="128">
        <f>('Unit costs'!$C149*'Financial impact (cash)'!H$14)+('Unit costs'!$E149*'Financial impact (cash)'!H$16)+('Unit costs'!$F149*'Financial impact (cash)'!H$17)+('Unit costs'!$D149*'Financial impact (cash)'!H$15)+('Unit costs'!$G149*'Financial impact (cash)'!H$18)</f>
        <v>158.71153666516216</v>
      </c>
      <c r="I222" s="128">
        <f>('Unit costs'!$C149*'Financial impact (cash)'!I$14)+('Unit costs'!$E149*'Financial impact (cash)'!I$16)+('Unit costs'!$F149*'Financial impact (cash)'!I$17)+('Unit costs'!$D149*'Financial impact (cash)'!I$15)+('Unit costs'!$G149*'Financial impact (cash)'!I$18)</f>
        <v>160.24180274399191</v>
      </c>
      <c r="J222" s="297"/>
      <c r="K222" s="297"/>
      <c r="L222" s="299">
        <f>(D222*'Unit costs'!$I149)/1000</f>
        <v>252.64409715791186</v>
      </c>
      <c r="M222" s="299">
        <f>(E222*'Unit costs'!$I149)/1000</f>
        <v>251.92051745972157</v>
      </c>
      <c r="N222" s="299">
        <f>(F222*'Unit costs'!$I149)/1000</f>
        <v>238.98822326447925</v>
      </c>
      <c r="O222" s="299">
        <f>(G222*'Unit costs'!$I149)/1000</f>
        <v>227.97161614380678</v>
      </c>
      <c r="P222" s="299">
        <f>(H222*'Unit costs'!$I149)/1000</f>
        <v>216.72035160459561</v>
      </c>
      <c r="Q222" s="299">
        <f>(I222*'Unit costs'!$I149)/1000</f>
        <v>218.80992750828204</v>
      </c>
      <c r="R222" s="711"/>
      <c r="S222" s="133"/>
      <c r="T222" s="133"/>
      <c r="U222" s="133"/>
      <c r="V222" s="133"/>
      <c r="W222" s="133"/>
      <c r="X222" s="133"/>
      <c r="Y222" s="133"/>
      <c r="Z222" s="133"/>
      <c r="AJ222" s="292"/>
      <c r="AK222" s="292"/>
      <c r="AL222" s="292"/>
      <c r="AM222" s="292"/>
      <c r="AN222" s="292"/>
    </row>
    <row r="223" spans="1:40" x14ac:dyDescent="0.25">
      <c r="A223" s="297"/>
      <c r="B223" s="253" t="s">
        <v>1119</v>
      </c>
      <c r="C223" s="168"/>
      <c r="D223" s="128">
        <f>('Unit costs'!$C150*'Financial impact (cash)'!D$14)+('Unit costs'!$E150*'Financial impact (cash)'!D$16)+('Unit costs'!$F150*'Financial impact (cash)'!D$17)+('Unit costs'!$D150*'Financial impact (cash)'!D$15)+('Unit costs'!$G150*'Financial impact (cash)'!D$18)</f>
        <v>0</v>
      </c>
      <c r="E223" s="128">
        <f>('Unit costs'!$C150*'Financial impact (cash)'!E$14)+('Unit costs'!$E150*'Financial impact (cash)'!E$16)+('Unit costs'!$F150*'Financial impact (cash)'!E$17)+('Unit costs'!$D150*'Financial impact (cash)'!E$15)+('Unit costs'!$G150*'Financial impact (cash)'!E$18)</f>
        <v>2.443892931287357</v>
      </c>
      <c r="F223" s="128">
        <f>('Unit costs'!$C150*'Financial impact (cash)'!F$14)+('Unit costs'!$E150*'Financial impact (cash)'!F$16)+('Unit costs'!$F150*'Financial impact (cash)'!F$17)+('Unit costs'!$D150*'Financial impact (cash)'!F$15)+('Unit costs'!$G150*'Financial impact (cash)'!F$18)</f>
        <v>5.3770811533562499</v>
      </c>
      <c r="G223" s="128">
        <f>('Unit costs'!$C150*'Financial impact (cash)'!G$14)+('Unit costs'!$E150*'Financial impact (cash)'!G$16)+('Unit costs'!$F150*'Financial impact (cash)'!G$17)+('Unit costs'!$D150*'Financial impact (cash)'!G$15)+('Unit costs'!$G150*'Financial impact (cash)'!G$18)</f>
        <v>8.1433889018322478</v>
      </c>
      <c r="H223" s="128">
        <f>('Unit costs'!$C150*'Financial impact (cash)'!H$14)+('Unit costs'!$E150*'Financial impact (cash)'!H$16)+('Unit costs'!$F150*'Financial impact (cash)'!H$17)+('Unit costs'!$D150*'Financial impact (cash)'!H$15)+('Unit costs'!$G150*'Financial impact (cash)'!H$18)</f>
        <v>10.962541186303481</v>
      </c>
      <c r="I223" s="128">
        <f>('Unit costs'!$C150*'Financial impact (cash)'!I$14)+('Unit costs'!$E150*'Financial impact (cash)'!I$16)+('Unit costs'!$F150*'Financial impact (cash)'!I$17)+('Unit costs'!$D150*'Financial impact (cash)'!I$15)+('Unit costs'!$G150*'Financial impact (cash)'!I$18)</f>
        <v>11.068239897737207</v>
      </c>
      <c r="J223" s="297"/>
      <c r="K223" s="297"/>
      <c r="L223" s="299">
        <f>(D223*'Unit costs'!$I150)/1000</f>
        <v>0</v>
      </c>
      <c r="M223" s="299">
        <f>(E223*'Unit costs'!$I150)/1000</f>
        <v>3.7461291995436108</v>
      </c>
      <c r="N223" s="299">
        <f>(F223*'Unit costs'!$I150)/1000</f>
        <v>8.2422762712001187</v>
      </c>
      <c r="O223" s="299">
        <f>(G223*'Unit costs'!$I150)/1000</f>
        <v>12.482620068107311</v>
      </c>
      <c r="P223" s="299">
        <f>(H223*'Unit costs'!$I150)/1000</f>
        <v>16.803966783265839</v>
      </c>
      <c r="Q223" s="299">
        <f>(I223*'Unit costs'!$I150)/1000</f>
        <v>16.965987395620342</v>
      </c>
      <c r="R223" s="711"/>
      <c r="S223" s="133"/>
      <c r="T223" s="133"/>
      <c r="U223" s="133"/>
      <c r="V223" s="133"/>
      <c r="W223" s="133"/>
      <c r="X223" s="133"/>
      <c r="Y223" s="133"/>
      <c r="Z223" s="133"/>
      <c r="AJ223" s="292"/>
      <c r="AK223" s="292"/>
      <c r="AL223" s="292"/>
      <c r="AM223" s="292"/>
      <c r="AN223" s="292"/>
    </row>
    <row r="224" spans="1:40" x14ac:dyDescent="0.25">
      <c r="A224" s="297"/>
      <c r="B224" s="253" t="s">
        <v>1120</v>
      </c>
      <c r="C224" s="168"/>
      <c r="D224" s="128">
        <f>('Unit costs'!$C151*'Financial impact (cash)'!D$14)+('Unit costs'!$E151*'Financial impact (cash)'!D$16)+('Unit costs'!$F151*'Financial impact (cash)'!D$17)+('Unit costs'!$D151*'Financial impact (cash)'!D$15)+('Unit costs'!$G151*'Financial impact (cash)'!D$18)</f>
        <v>21.637443059706719</v>
      </c>
      <c r="E224" s="128">
        <f>('Unit costs'!$C151*'Financial impact (cash)'!E$14)+('Unit costs'!$E151*'Financial impact (cash)'!E$16)+('Unit costs'!$F151*'Financial impact (cash)'!E$17)+('Unit costs'!$D151*'Financial impact (cash)'!E$15)+('Unit costs'!$G151*'Financial impact (cash)'!E$18)</f>
        <v>26.834197748085298</v>
      </c>
      <c r="F224" s="128">
        <f>('Unit costs'!$C151*'Financial impact (cash)'!F$14)+('Unit costs'!$E151*'Financial impact (cash)'!F$16)+('Unit costs'!$F151*'Financial impact (cash)'!F$17)+('Unit costs'!$D151*'Financial impact (cash)'!F$15)+('Unit costs'!$G151*'Financial impact (cash)'!F$18)</f>
        <v>34.933607147506706</v>
      </c>
      <c r="G224" s="128">
        <f>('Unit costs'!$C151*'Financial impact (cash)'!G$14)+('Unit costs'!$E151*'Financial impact (cash)'!G$16)+('Unit costs'!$F151*'Financial impact (cash)'!G$17)+('Unit costs'!$D151*'Financial impact (cash)'!G$15)+('Unit costs'!$G151*'Financial impact (cash)'!G$18)</f>
        <v>42.42594225205837</v>
      </c>
      <c r="H224" s="128">
        <f>('Unit costs'!$C151*'Financial impact (cash)'!H$14)+('Unit costs'!$E151*'Financial impact (cash)'!H$16)+('Unit costs'!$F151*'Financial impact (cash)'!H$17)+('Unit costs'!$D151*'Financial impact (cash)'!H$15)+('Unit costs'!$G151*'Financial impact (cash)'!H$18)</f>
        <v>50.059509078060763</v>
      </c>
      <c r="I224" s="128">
        <f>('Unit costs'!$C151*'Financial impact (cash)'!I$14)+('Unit costs'!$E151*'Financial impact (cash)'!I$16)+('Unit costs'!$F151*'Financial impact (cash)'!I$17)+('Unit costs'!$D151*'Financial impact (cash)'!I$15)+('Unit costs'!$G151*'Financial impact (cash)'!I$18)</f>
        <v>50.54217322633022</v>
      </c>
      <c r="J224" s="297"/>
      <c r="K224" s="297"/>
      <c r="L224" s="299">
        <f>(D224*'Unit costs'!$I151)/1000</f>
        <v>40.412185618914435</v>
      </c>
      <c r="M224" s="299">
        <f>(E224*'Unit costs'!$I151)/1000</f>
        <v>50.118148310680176</v>
      </c>
      <c r="N224" s="299">
        <f>(F224*'Unit costs'!$I151)/1000</f>
        <v>65.245390247252814</v>
      </c>
      <c r="O224" s="299">
        <f>(G224*'Unit costs'!$I151)/1000</f>
        <v>79.238801397024531</v>
      </c>
      <c r="P224" s="299">
        <f>(H224*'Unit costs'!$I151)/1000</f>
        <v>93.495990597039807</v>
      </c>
      <c r="Q224" s="299">
        <f>(I224*'Unit costs'!$I151)/1000</f>
        <v>94.39746093702577</v>
      </c>
      <c r="R224" s="711"/>
      <c r="S224" s="133"/>
      <c r="T224" s="133"/>
      <c r="U224" s="133"/>
      <c r="V224" s="133"/>
      <c r="W224" s="133"/>
      <c r="X224" s="133"/>
      <c r="Y224" s="133"/>
      <c r="Z224" s="133"/>
      <c r="AJ224" s="292"/>
      <c r="AK224" s="292"/>
      <c r="AL224" s="292"/>
      <c r="AM224" s="292"/>
      <c r="AN224" s="292"/>
    </row>
    <row r="225" spans="1:40" x14ac:dyDescent="0.25">
      <c r="A225" s="297"/>
      <c r="B225" s="253" t="s">
        <v>1121</v>
      </c>
      <c r="C225" s="168"/>
      <c r="D225" s="128">
        <f>('Unit costs'!$C152*'Financial impact (cash)'!D$14)+('Unit costs'!$E152*'Financial impact (cash)'!D$16)+('Unit costs'!$F152*'Financial impact (cash)'!D$17)+('Unit costs'!$D152*'Financial impact (cash)'!D$15)+('Unit costs'!$G152*'Financial impact (cash)'!D$18)</f>
        <v>33.404734588891706</v>
      </c>
      <c r="E225" s="128">
        <f>('Unit costs'!$C152*'Financial impact (cash)'!E$14)+('Unit costs'!$E152*'Financial impact (cash)'!E$16)+('Unit costs'!$F152*'Financial impact (cash)'!E$17)+('Unit costs'!$D152*'Financial impact (cash)'!E$15)+('Unit costs'!$G152*'Financial impact (cash)'!E$18)</f>
        <v>48.202111009593615</v>
      </c>
      <c r="F225" s="128">
        <f>('Unit costs'!$C152*'Financial impact (cash)'!F$14)+('Unit costs'!$E152*'Financial impact (cash)'!F$16)+('Unit costs'!$F152*'Financial impact (cash)'!F$17)+('Unit costs'!$D152*'Financial impact (cash)'!F$15)+('Unit costs'!$G152*'Financial impact (cash)'!F$18)</f>
        <v>63.73418244495074</v>
      </c>
      <c r="G225" s="128">
        <f>('Unit costs'!$C152*'Financial impact (cash)'!G$14)+('Unit costs'!$E152*'Financial impact (cash)'!G$16)+('Unit costs'!$F152*'Financial impact (cash)'!G$17)+('Unit costs'!$D152*'Financial impact (cash)'!G$15)+('Unit costs'!$G152*'Financial impact (cash)'!G$18)</f>
        <v>78.592637961936219</v>
      </c>
      <c r="H225" s="128">
        <f>('Unit costs'!$C152*'Financial impact (cash)'!H$14)+('Unit costs'!$E152*'Financial impact (cash)'!H$16)+('Unit costs'!$F152*'Financial impact (cash)'!H$17)+('Unit costs'!$D152*'Financial impact (cash)'!H$15)+('Unit costs'!$G152*'Financial impact (cash)'!H$18)</f>
        <v>93.73169320024212</v>
      </c>
      <c r="I225" s="128">
        <f>('Unit costs'!$C152*'Financial impact (cash)'!I$14)+('Unit costs'!$E152*'Financial impact (cash)'!I$16)+('Unit costs'!$F152*'Financial impact (cash)'!I$17)+('Unit costs'!$D152*'Financial impact (cash)'!I$15)+('Unit costs'!$G152*'Financial impact (cash)'!I$18)</f>
        <v>94.635436139346879</v>
      </c>
      <c r="J225" s="297"/>
      <c r="K225" s="297"/>
      <c r="L225" s="299">
        <f>(D225*'Unit costs'!$I152)/1000</f>
        <v>83.921360173391477</v>
      </c>
      <c r="M225" s="299">
        <f>(E225*'Unit costs'!$I152)/1000</f>
        <v>121.09620893378022</v>
      </c>
      <c r="N225" s="299">
        <f>(F225*'Unit costs'!$I152)/1000</f>
        <v>160.11680218821377</v>
      </c>
      <c r="O225" s="299">
        <f>(G225*'Unit costs'!$I152)/1000</f>
        <v>197.44509748548904</v>
      </c>
      <c r="P225" s="299">
        <f>(H225*'Unit costs'!$I152)/1000</f>
        <v>235.47833208455162</v>
      </c>
      <c r="Q225" s="299">
        <f>(I225*'Unit costs'!$I152)/1000</f>
        <v>237.74876882443789</v>
      </c>
      <c r="R225" s="711"/>
      <c r="S225" s="133"/>
      <c r="T225" s="133"/>
      <c r="U225" s="133"/>
      <c r="V225" s="133"/>
      <c r="W225" s="133"/>
      <c r="X225" s="133"/>
      <c r="Y225" s="133"/>
      <c r="Z225" s="133"/>
      <c r="AJ225" s="292"/>
      <c r="AK225" s="292"/>
      <c r="AL225" s="292"/>
      <c r="AM225" s="292"/>
      <c r="AN225" s="292"/>
    </row>
    <row r="226" spans="1:40" x14ac:dyDescent="0.25">
      <c r="A226" s="297"/>
      <c r="B226" s="253" t="s">
        <v>1122</v>
      </c>
      <c r="C226" s="168"/>
      <c r="D226" s="128">
        <f>('Unit costs'!$C153*'Financial impact (cash)'!D$14)+('Unit costs'!$E153*'Financial impact (cash)'!D$16)+('Unit costs'!$F153*'Financial impact (cash)'!D$17)+('Unit costs'!$D153*'Financial impact (cash)'!D$15)+('Unit costs'!$G153*'Financial impact (cash)'!D$18)</f>
        <v>284.12878585336654</v>
      </c>
      <c r="E226" s="128">
        <f>('Unit costs'!$C153*'Financial impact (cash)'!E$14)+('Unit costs'!$E153*'Financial impact (cash)'!E$16)+('Unit costs'!$F153*'Financial impact (cash)'!E$17)+('Unit costs'!$D153*'Financial impact (cash)'!E$15)+('Unit costs'!$G153*'Financial impact (cash)'!E$18)</f>
        <v>319.0069597112614</v>
      </c>
      <c r="F226" s="128">
        <f>('Unit costs'!$C153*'Financial impact (cash)'!F$14)+('Unit costs'!$E153*'Financial impact (cash)'!F$16)+('Unit costs'!$F153*'Financial impact (cash)'!F$17)+('Unit costs'!$D153*'Financial impact (cash)'!F$15)+('Unit costs'!$G153*'Financial impact (cash)'!F$18)</f>
        <v>359.24014976941925</v>
      </c>
      <c r="G226" s="128">
        <f>('Unit costs'!$C153*'Financial impact (cash)'!G$14)+('Unit costs'!$E153*'Financial impact (cash)'!G$16)+('Unit costs'!$F153*'Financial impact (cash)'!G$17)+('Unit costs'!$D153*'Financial impact (cash)'!G$15)+('Unit costs'!$G153*'Financial impact (cash)'!G$18)</f>
        <v>397.49144656991035</v>
      </c>
      <c r="H226" s="128">
        <f>('Unit costs'!$C153*'Financial impact (cash)'!H$14)+('Unit costs'!$E153*'Financial impact (cash)'!H$16)+('Unit costs'!$F153*'Financial impact (cash)'!H$17)+('Unit costs'!$D153*'Financial impact (cash)'!H$15)+('Unit costs'!$G153*'Financial impact (cash)'!H$18)</f>
        <v>436.44697008503135</v>
      </c>
      <c r="I226" s="128">
        <f>('Unit costs'!$C153*'Financial impact (cash)'!I$14)+('Unit costs'!$E153*'Financial impact (cash)'!I$16)+('Unit costs'!$F153*'Financial impact (cash)'!I$17)+('Unit costs'!$D153*'Financial impact (cash)'!I$15)+('Unit costs'!$G153*'Financial impact (cash)'!I$18)</f>
        <v>440.65510773880635</v>
      </c>
      <c r="J226" s="297"/>
      <c r="K226" s="297"/>
      <c r="L226" s="299">
        <f>(D226*'Unit costs'!$I153)/1000</f>
        <v>282.24466491054989</v>
      </c>
      <c r="M226" s="299">
        <f>(E226*'Unit costs'!$I153)/1000</f>
        <v>316.8915538684812</v>
      </c>
      <c r="N226" s="299">
        <f>(F226*'Unit costs'!$I153)/1000</f>
        <v>356.85794872756333</v>
      </c>
      <c r="O226" s="299">
        <f>(G226*'Unit costs'!$I153)/1000</f>
        <v>394.85559270236399</v>
      </c>
      <c r="P226" s="299">
        <f>(H226*'Unit costs'!$I153)/1000</f>
        <v>433.55279350839101</v>
      </c>
      <c r="Q226" s="299">
        <f>(I226*'Unit costs'!$I153)/1000</f>
        <v>437.73302606884738</v>
      </c>
      <c r="R226" s="711"/>
      <c r="S226" s="133"/>
      <c r="T226" s="133"/>
      <c r="U226" s="133"/>
      <c r="V226" s="133"/>
      <c r="W226" s="133"/>
      <c r="X226" s="133"/>
      <c r="Y226" s="133"/>
      <c r="Z226" s="133"/>
      <c r="AJ226" s="292"/>
      <c r="AK226" s="292"/>
      <c r="AL226" s="292"/>
      <c r="AM226" s="292"/>
      <c r="AN226" s="292"/>
    </row>
    <row r="227" spans="1:40" x14ac:dyDescent="0.25">
      <c r="A227" s="297"/>
      <c r="B227" s="286"/>
      <c r="C227" s="211"/>
      <c r="D227" s="187">
        <f>SUM(D210:D226)</f>
        <v>1178.9774657115706</v>
      </c>
      <c r="E227" s="187">
        <f t="shared" ref="E227:I227" si="65">SUM(E210:E226)</f>
        <v>1307.4605130982677</v>
      </c>
      <c r="F227" s="187">
        <f t="shared" si="65"/>
        <v>1467.1256035757094</v>
      </c>
      <c r="G227" s="187">
        <f t="shared" si="65"/>
        <v>1617.9378830177109</v>
      </c>
      <c r="H227" s="187">
        <f t="shared" si="65"/>
        <v>1771.5219778563287</v>
      </c>
      <c r="I227" s="187">
        <f t="shared" si="65"/>
        <v>1788.6026516849379</v>
      </c>
      <c r="J227" s="297"/>
      <c r="K227" s="297"/>
      <c r="L227" s="300">
        <f>SUM(L210:L226)</f>
        <v>1333.427993180002</v>
      </c>
      <c r="M227" s="300">
        <f t="shared" ref="M227:P227" si="66">SUM(M210:M226)</f>
        <v>1526.6608856655062</v>
      </c>
      <c r="N227" s="300">
        <f t="shared" si="66"/>
        <v>1761.9614656688752</v>
      </c>
      <c r="O227" s="300">
        <f t="shared" si="66"/>
        <v>1984.3748994271045</v>
      </c>
      <c r="P227" s="300">
        <f t="shared" si="66"/>
        <v>2210.913468416069</v>
      </c>
      <c r="Q227" s="300">
        <f>SUM(Q210:Q226)</f>
        <v>2232.2306703979434</v>
      </c>
      <c r="R227" s="711"/>
      <c r="S227" s="133"/>
      <c r="T227" s="133"/>
      <c r="U227" s="133"/>
      <c r="V227" s="133"/>
      <c r="W227" s="133"/>
      <c r="X227" s="133"/>
      <c r="Y227" s="133"/>
      <c r="Z227" s="133"/>
      <c r="AJ227" s="292"/>
      <c r="AK227" s="292"/>
      <c r="AL227" s="292"/>
      <c r="AM227" s="292"/>
      <c r="AN227" s="292"/>
    </row>
    <row r="228" spans="1:40" x14ac:dyDescent="0.25">
      <c r="A228" s="297"/>
      <c r="B228" s="312"/>
      <c r="C228" s="211"/>
      <c r="D228" s="291" t="s">
        <v>778</v>
      </c>
      <c r="E228" s="187">
        <f>E227-$D$227</f>
        <v>128.48304738669708</v>
      </c>
      <c r="F228" s="187">
        <f>F227-$D$227</f>
        <v>288.14813786413879</v>
      </c>
      <c r="G228" s="187">
        <f>G227-$D$227</f>
        <v>438.96041730614024</v>
      </c>
      <c r="H228" s="187">
        <f>H227-$D$227</f>
        <v>592.54451214475807</v>
      </c>
      <c r="I228" s="187">
        <f>I227-$D$227</f>
        <v>609.62518597336725</v>
      </c>
      <c r="J228" s="297"/>
      <c r="K228" s="297"/>
      <c r="L228" s="593"/>
      <c r="M228" s="300">
        <f>M227-$L$227</f>
        <v>193.23289248550418</v>
      </c>
      <c r="N228" s="300">
        <f>N227-$L$227</f>
        <v>428.53347248887326</v>
      </c>
      <c r="O228" s="300">
        <f>O227-$L$227</f>
        <v>650.94690624710256</v>
      </c>
      <c r="P228" s="300">
        <f>P227-$L$227</f>
        <v>877.48547523606703</v>
      </c>
      <c r="Q228" s="300">
        <f>Q227-$L$227</f>
        <v>898.80267721794144</v>
      </c>
    </row>
    <row r="229" spans="1:40" x14ac:dyDescent="0.25">
      <c r="A229" s="297"/>
      <c r="B229" s="297"/>
      <c r="C229" s="297"/>
      <c r="D229" s="297"/>
      <c r="E229" s="297"/>
      <c r="F229" s="297"/>
      <c r="G229" s="297"/>
      <c r="H229" s="297"/>
      <c r="I229" s="297"/>
      <c r="J229" s="297"/>
      <c r="K229" s="297"/>
      <c r="L229" s="297"/>
      <c r="M229" s="297"/>
      <c r="N229" s="297"/>
      <c r="O229" s="297"/>
      <c r="P229" s="297"/>
      <c r="Q229" s="297"/>
    </row>
    <row r="230" spans="1:40" x14ac:dyDescent="0.25">
      <c r="B230"/>
    </row>
    <row r="231" spans="1:40" x14ac:dyDescent="0.25">
      <c r="B231"/>
    </row>
    <row r="232" spans="1:40" x14ac:dyDescent="0.25">
      <c r="B232"/>
    </row>
    <row r="233" spans="1:40" x14ac:dyDescent="0.25">
      <c r="B233"/>
    </row>
    <row r="234" spans="1:40" x14ac:dyDescent="0.25">
      <c r="B234"/>
    </row>
  </sheetData>
  <sheetProtection algorithmName="SHA-512" hashValue="3QZ6cRUY4aHL/Nnk996fiYw+ZFYRLACXBch1gD6H4pEYiCOIISNmG88A6ndcvZ02wSvRMNLGImU74jMvqsPosA==" saltValue="KIwA335KMW/E445c63t2Ig==" spinCount="100000" sheet="1" objects="1" scenarios="1"/>
  <protectedRanges>
    <protectedRange sqref="B210:B226" name="Range1_1"/>
  </protectedRanges>
  <pageMargins left="0.70866141732283472" right="0.70866141732283472" top="0.74803149606299213" bottom="0.74803149606299213" header="0.31496062992125984" footer="0.31496062992125984"/>
  <pageSetup paperSize="9" scale="33" fitToHeight="0" orientation="portrait" horizontalDpi="4294967293" r:id="rId1"/>
  <rowBreaks count="1" manualBreakCount="1">
    <brk id="154"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SharedWithUsers>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24C17-9003-4474-A67F-56162B9CF558}">
  <ds:schemaRefs>
    <ds:schemaRef ds:uri="http://schemas.microsoft.com/office/2006/documentManagement/types"/>
    <ds:schemaRef ds:uri="http://purl.org/dc/dcmitype/"/>
    <ds:schemaRef ds:uri="http://www.w3.org/XML/1998/namespace"/>
    <ds:schemaRef ds:uri="acaf4567-dc07-471f-892c-2bcb86ef35ae"/>
    <ds:schemaRef ds:uri="c1f338ac-e338-414f-952c-f74dcc6d59e1"/>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0eb656aa-4e79-4e95-9076-bc119a23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Cover</vt:lpstr>
      <vt:lpstr>Contents</vt:lpstr>
      <vt:lpstr>Population selection</vt:lpstr>
      <vt:lpstr>Inputs and eligible population</vt:lpstr>
      <vt:lpstr>Unit costs</vt:lpstr>
      <vt:lpstr>Summary</vt:lpstr>
      <vt:lpstr>Financial impact (cash)</vt:lpstr>
      <vt:lpstr>Capacity (local prices) 2nd</vt:lpstr>
      <vt:lpstr>Capacity (national prices) 2nd</vt:lpstr>
      <vt:lpstr>Capacity (local prices) 3rd</vt:lpstr>
      <vt:lpstr>Capacity (national prices)  3rd</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 2nd'!Print_Area</vt:lpstr>
      <vt:lpstr>'Capacity (local prices) 3rd'!Print_Area</vt:lpstr>
      <vt:lpstr>'Capacity (national prices)  3rd'!Print_Area</vt:lpstr>
      <vt:lpstr>'Capacity (national prices) 2nd'!Print_Area</vt:lpstr>
      <vt:lpstr>Contents!Print_Area</vt:lpstr>
      <vt:lpstr>Cover!Print_Area</vt:lpstr>
      <vt:lpstr>'Financial impact (cash)'!Print_Area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TA974 Selinexor with bortezomib and dexamethasone for previously treated multiple myeloma: Resource impact template </dc:title>
  <dc:subject/>
  <dc:creator/>
  <cp:keywords/>
  <dc:description/>
  <cp:lastModifiedBy/>
  <cp:revision/>
  <dcterms:created xsi:type="dcterms:W3CDTF">2022-07-27T12:38:28Z</dcterms:created>
  <dcterms:modified xsi:type="dcterms:W3CDTF">2024-08-05T15:20:41Z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