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26E501C8-A248-43FF-9AC6-7CEC8E3EE6D4}" xr6:coauthVersionLast="47" xr6:coauthVersionMax="47" xr10:uidLastSave="{00000000-0000-0000-0000-000000000000}"/>
  <bookViews>
    <workbookView xWindow="-110" yWindow="-110" windowWidth="19420" windowHeight="1162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prices)'!$B$1:$S$29</definedName>
    <definedName name="_xlnm.Print_Area" localSheetId="8">'Capacity (national prices)'!$B$1:$S$27</definedName>
    <definedName name="_xlnm.Print_Area" localSheetId="1">Contents!$A$1:$P$29</definedName>
    <definedName name="_xlnm.Print_Area" localSheetId="0">Cover!$A$1:$P$26</definedName>
    <definedName name="_xlnm.Print_Area" localSheetId="6">'Financial impact (cash)'!$B$1:$J$24</definedName>
    <definedName name="_xlnm.Print_Area" localSheetId="3">'Inputs and eligible population'!$A$2:$S$93</definedName>
    <definedName name="_xlnm.Print_Area" localSheetId="2">'Population selection'!$B$11:$J$17</definedName>
    <definedName name="_xlnm.Print_Area" localSheetId="5">Summary!$B$1:$K$46</definedName>
    <definedName name="_xlnm.Print_Area" localSheetId="4">'Unit costs'!$B$1:$T$34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6" l="1"/>
  <c r="H24" i="56"/>
  <c r="G24" i="56"/>
  <c r="F24" i="56"/>
  <c r="E24" i="56"/>
  <c r="I18" i="56"/>
  <c r="H18" i="56"/>
  <c r="G18" i="56"/>
  <c r="F18" i="56"/>
  <c r="E18" i="56"/>
  <c r="F26" i="46" l="1"/>
  <c r="G26" i="46"/>
  <c r="H26" i="46"/>
  <c r="I26" i="46"/>
  <c r="E26" i="46"/>
  <c r="C26" i="46"/>
  <c r="S12" i="21"/>
  <c r="K72" i="50"/>
  <c r="K70" i="50"/>
  <c r="E47" i="57"/>
  <c r="D47" i="57"/>
  <c r="D46" i="57"/>
  <c r="C46" i="57"/>
  <c r="E46" i="57" s="1"/>
  <c r="E45" i="57"/>
  <c r="H45" i="57" s="1"/>
  <c r="D45" i="57"/>
  <c r="H44" i="57"/>
  <c r="E44" i="57"/>
  <c r="G44" i="57" s="1"/>
  <c r="D44" i="57"/>
  <c r="E43" i="57"/>
  <c r="G43" i="57" s="1"/>
  <c r="D43" i="57"/>
  <c r="C43" i="57"/>
  <c r="H43" i="57" s="1"/>
  <c r="H42" i="57"/>
  <c r="E42" i="57"/>
  <c r="D42" i="57"/>
  <c r="C41" i="57"/>
  <c r="E41" i="57" s="1"/>
  <c r="C40" i="57"/>
  <c r="E40" i="57" s="1"/>
  <c r="C39" i="57"/>
  <c r="E39" i="57" s="1"/>
  <c r="C38" i="57"/>
  <c r="E38" i="57" s="1"/>
  <c r="C37" i="57"/>
  <c r="E37" i="57" s="1"/>
  <c r="W36" i="57"/>
  <c r="J42" i="57" s="1"/>
  <c r="D36" i="57"/>
  <c r="C36" i="57"/>
  <c r="E36" i="57" s="1"/>
  <c r="C35" i="57"/>
  <c r="D35" i="57" s="1"/>
  <c r="C34" i="57"/>
  <c r="D34" i="57" s="1"/>
  <c r="C33" i="57"/>
  <c r="D33" i="57" s="1"/>
  <c r="C32" i="57"/>
  <c r="D32" i="57" s="1"/>
  <c r="C31" i="57"/>
  <c r="D31" i="57" s="1"/>
  <c r="C30" i="57"/>
  <c r="D30" i="57" s="1"/>
  <c r="C29" i="57"/>
  <c r="D29" i="57" s="1"/>
  <c r="W28" i="57"/>
  <c r="C28" i="57"/>
  <c r="E28" i="57" s="1"/>
  <c r="C27" i="57"/>
  <c r="E27" i="57" s="1"/>
  <c r="C26" i="57"/>
  <c r="E26" i="57" s="1"/>
  <c r="C25" i="57"/>
  <c r="E25" i="57" s="1"/>
  <c r="C24" i="57"/>
  <c r="E24" i="57" s="1"/>
  <c r="C23" i="57"/>
  <c r="E23" i="57" s="1"/>
  <c r="C22" i="57"/>
  <c r="E22" i="57" s="1"/>
  <c r="C21" i="57"/>
  <c r="E21" i="57" s="1"/>
  <c r="C20" i="57"/>
  <c r="E20" i="57" s="1"/>
  <c r="W19" i="57"/>
  <c r="E19" i="57"/>
  <c r="D19" i="57"/>
  <c r="C19" i="57"/>
  <c r="D18" i="57"/>
  <c r="C18" i="57"/>
  <c r="E18" i="57" s="1"/>
  <c r="D17" i="57"/>
  <c r="C17" i="57"/>
  <c r="E17" i="57" s="1"/>
  <c r="D16" i="57"/>
  <c r="C16" i="57"/>
  <c r="E16" i="57" s="1"/>
  <c r="D15" i="57"/>
  <c r="C15" i="57"/>
  <c r="E15" i="57" s="1"/>
  <c r="D14" i="57"/>
  <c r="C14" i="57"/>
  <c r="E14" i="57" s="1"/>
  <c r="D13" i="57"/>
  <c r="C13" i="57"/>
  <c r="E13" i="57" s="1"/>
  <c r="D12" i="57"/>
  <c r="C12" i="57"/>
  <c r="E12" i="57" s="1"/>
  <c r="L9" i="21"/>
  <c r="L15" i="21"/>
  <c r="H39" i="57" l="1"/>
  <c r="I39" i="57" s="1"/>
  <c r="K39" i="57" s="1"/>
  <c r="G39" i="57"/>
  <c r="F39" i="57"/>
  <c r="H13" i="57"/>
  <c r="F13" i="57"/>
  <c r="G13" i="57"/>
  <c r="I13" i="57" s="1"/>
  <c r="K13" i="57" s="1"/>
  <c r="H28" i="57"/>
  <c r="I28" i="57" s="1"/>
  <c r="K28" i="57" s="1"/>
  <c r="G28" i="57"/>
  <c r="F28" i="57"/>
  <c r="H41" i="57"/>
  <c r="G41" i="57"/>
  <c r="F41" i="57"/>
  <c r="I41" i="57" s="1"/>
  <c r="K41" i="57" s="1"/>
  <c r="H21" i="57"/>
  <c r="I21" i="57" s="1"/>
  <c r="K21" i="57" s="1"/>
  <c r="G21" i="57"/>
  <c r="F21" i="57"/>
  <c r="H36" i="57"/>
  <c r="G36" i="57"/>
  <c r="F36" i="57"/>
  <c r="I36" i="57" s="1"/>
  <c r="K36" i="57" s="1"/>
  <c r="H38" i="57"/>
  <c r="I38" i="57" s="1"/>
  <c r="K38" i="57" s="1"/>
  <c r="G38" i="57"/>
  <c r="F38" i="57"/>
  <c r="H26" i="57"/>
  <c r="G26" i="57"/>
  <c r="F26" i="57"/>
  <c r="I26" i="57" s="1"/>
  <c r="K26" i="57" s="1"/>
  <c r="F14" i="57"/>
  <c r="I14" i="57" s="1"/>
  <c r="K14" i="57" s="1"/>
  <c r="H14" i="57"/>
  <c r="G14" i="57"/>
  <c r="F16" i="57"/>
  <c r="I16" i="57" s="1"/>
  <c r="K16" i="57" s="1"/>
  <c r="H16" i="57"/>
  <c r="G16" i="57"/>
  <c r="I27" i="57"/>
  <c r="K27" i="57" s="1"/>
  <c r="H27" i="57"/>
  <c r="G27" i="57"/>
  <c r="F27" i="57"/>
  <c r="H17" i="57"/>
  <c r="F17" i="57"/>
  <c r="I17" i="57" s="1"/>
  <c r="K17" i="57" s="1"/>
  <c r="G17" i="57"/>
  <c r="I20" i="57"/>
  <c r="K20" i="57" s="1"/>
  <c r="H20" i="57"/>
  <c r="G20" i="57"/>
  <c r="F20" i="57"/>
  <c r="H18" i="57"/>
  <c r="F18" i="57"/>
  <c r="I18" i="57" s="1"/>
  <c r="K18" i="57" s="1"/>
  <c r="G18" i="57"/>
  <c r="I22" i="57"/>
  <c r="K22" i="57" s="1"/>
  <c r="H22" i="57"/>
  <c r="G22" i="57"/>
  <c r="F22" i="57"/>
  <c r="H23" i="57"/>
  <c r="G23" i="57"/>
  <c r="F23" i="57"/>
  <c r="I23" i="57" s="1"/>
  <c r="K23" i="57" s="1"/>
  <c r="I15" i="57"/>
  <c r="K15" i="57" s="1"/>
  <c r="H15" i="57"/>
  <c r="F15" i="57"/>
  <c r="G15" i="57"/>
  <c r="H24" i="57"/>
  <c r="G24" i="57"/>
  <c r="F24" i="57"/>
  <c r="I24" i="57" s="1"/>
  <c r="K24" i="57" s="1"/>
  <c r="I37" i="57"/>
  <c r="K37" i="57" s="1"/>
  <c r="H37" i="57"/>
  <c r="G37" i="57"/>
  <c r="F37" i="57"/>
  <c r="H46" i="57"/>
  <c r="G46" i="57"/>
  <c r="F46" i="57"/>
  <c r="I46" i="57" s="1"/>
  <c r="K46" i="57" s="1"/>
  <c r="I25" i="57"/>
  <c r="K25" i="57" s="1"/>
  <c r="H25" i="57"/>
  <c r="G25" i="57"/>
  <c r="F25" i="57"/>
  <c r="F12" i="57"/>
  <c r="I12" i="57" s="1"/>
  <c r="K12" i="57" s="1"/>
  <c r="H12" i="57"/>
  <c r="G12" i="57"/>
  <c r="I40" i="57"/>
  <c r="K40" i="57" s="1"/>
  <c r="H40" i="57"/>
  <c r="G40" i="57"/>
  <c r="F40" i="57"/>
  <c r="D20" i="57"/>
  <c r="D21" i="57"/>
  <c r="D22" i="57"/>
  <c r="D23" i="57"/>
  <c r="D24" i="57"/>
  <c r="D25" i="57"/>
  <c r="D26" i="57"/>
  <c r="D27" i="57"/>
  <c r="D28" i="57"/>
  <c r="J43" i="57"/>
  <c r="J44" i="57"/>
  <c r="G19" i="57"/>
  <c r="E29" i="57"/>
  <c r="E30" i="57"/>
  <c r="E31" i="57"/>
  <c r="E32" i="57"/>
  <c r="E33" i="57"/>
  <c r="E34" i="57"/>
  <c r="E35" i="57"/>
  <c r="D37" i="57"/>
  <c r="D38" i="57"/>
  <c r="D39" i="57"/>
  <c r="D40" i="57"/>
  <c r="D41" i="57"/>
  <c r="H19" i="57"/>
  <c r="F42" i="57"/>
  <c r="I42" i="57" s="1"/>
  <c r="K42" i="57" s="1"/>
  <c r="F47" i="57"/>
  <c r="I47" i="57" s="1"/>
  <c r="K47" i="57" s="1"/>
  <c r="F19" i="57"/>
  <c r="I19" i="57" s="1"/>
  <c r="K19" i="57" s="1"/>
  <c r="G42" i="57"/>
  <c r="F43" i="57"/>
  <c r="I43" i="57" s="1"/>
  <c r="F44" i="57"/>
  <c r="I44" i="57" s="1"/>
  <c r="F45" i="57"/>
  <c r="G47" i="57"/>
  <c r="G45" i="57"/>
  <c r="H47" i="57"/>
  <c r="R15" i="21"/>
  <c r="Q15" i="21"/>
  <c r="N15" i="21"/>
  <c r="O15" i="21" s="1"/>
  <c r="P15" i="21" s="1"/>
  <c r="N9" i="21"/>
  <c r="O9" i="21" s="1"/>
  <c r="P9" i="21" s="1"/>
  <c r="Q9" i="21"/>
  <c r="R9" i="21"/>
  <c r="H35" i="57" l="1"/>
  <c r="G35" i="57"/>
  <c r="I35" i="57" s="1"/>
  <c r="K35" i="57" s="1"/>
  <c r="F35" i="57"/>
  <c r="H34" i="57"/>
  <c r="G34" i="57"/>
  <c r="F34" i="57"/>
  <c r="I34" i="57" s="1"/>
  <c r="K34" i="57" s="1"/>
  <c r="H33" i="57"/>
  <c r="G33" i="57"/>
  <c r="I33" i="57" s="1"/>
  <c r="K33" i="57" s="1"/>
  <c r="F33" i="57"/>
  <c r="I45" i="57"/>
  <c r="K45" i="57" s="1"/>
  <c r="H32" i="57"/>
  <c r="G32" i="57"/>
  <c r="F32" i="57"/>
  <c r="I32" i="57" s="1"/>
  <c r="K32" i="57" s="1"/>
  <c r="K44" i="57"/>
  <c r="I31" i="57"/>
  <c r="K31" i="57" s="1"/>
  <c r="H31" i="57"/>
  <c r="G31" i="57"/>
  <c r="F31" i="57"/>
  <c r="K43" i="57"/>
  <c r="H30" i="57"/>
  <c r="G30" i="57"/>
  <c r="F30" i="57"/>
  <c r="I30" i="57" s="1"/>
  <c r="K30" i="57" s="1"/>
  <c r="H29" i="57"/>
  <c r="G29" i="57"/>
  <c r="F29" i="57"/>
  <c r="I29" i="57" s="1"/>
  <c r="K29" i="57" s="1"/>
  <c r="S15" i="21"/>
  <c r="S18" i="21" s="1"/>
  <c r="S9" i="21" l="1"/>
  <c r="F19" i="50"/>
  <c r="B13" i="46"/>
  <c r="G13" i="50"/>
  <c r="G36" i="50"/>
  <c r="G33" i="50" l="1"/>
  <c r="L39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24" i="56"/>
  <c r="K18" i="56"/>
  <c r="B1" i="56"/>
  <c r="B1" i="46"/>
  <c r="B1" i="42"/>
  <c r="B1" i="47"/>
  <c r="B1" i="21"/>
  <c r="C39" i="50" l="1"/>
  <c r="C6" i="47" l="1"/>
  <c r="F16" i="50"/>
  <c r="F18" i="50"/>
  <c r="C18" i="56"/>
  <c r="C20" i="46"/>
  <c r="C24" i="56"/>
  <c r="B11" i="56"/>
  <c r="B11" i="46" s="1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F20" i="46" l="1"/>
  <c r="G20" i="46"/>
  <c r="H20" i="46"/>
  <c r="I20" i="46"/>
  <c r="E20" i="46"/>
  <c r="B10" i="56" l="1"/>
  <c r="B10" i="46" s="1"/>
  <c r="K26" i="46" l="1"/>
  <c r="K20" i="46"/>
  <c r="C38" i="50"/>
  <c r="G34" i="50"/>
  <c r="C33" i="50" l="1"/>
  <c r="F17" i="50"/>
  <c r="C17" i="50"/>
  <c r="F15" i="50"/>
  <c r="E6" i="47"/>
  <c r="F6" i="47"/>
  <c r="G6" i="47"/>
  <c r="H6" i="47"/>
  <c r="D6" i="47"/>
  <c r="F20" i="50" l="1"/>
  <c r="H36" i="50" l="1"/>
  <c r="I36" i="50" s="1"/>
  <c r="J36" i="50" s="1"/>
  <c r="K36" i="50" s="1"/>
  <c r="G37" i="50" l="1"/>
  <c r="H37" i="50" l="1"/>
  <c r="I37" i="50" s="1"/>
  <c r="J37" i="50" s="1"/>
  <c r="K37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59" i="50"/>
  <c r="I59" i="50"/>
  <c r="H59" i="50"/>
  <c r="G59" i="50"/>
  <c r="F59" i="50"/>
  <c r="E59" i="50"/>
  <c r="K46" i="50"/>
  <c r="K45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C18" i="42" l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19" i="42"/>
  <c r="F23" i="32" l="1"/>
  <c r="C16" i="32"/>
  <c r="E16" i="32" l="1"/>
  <c r="D16" i="32"/>
  <c r="F14" i="32" l="1"/>
  <c r="G12" i="50" s="1"/>
  <c r="G14" i="50" s="1"/>
  <c r="F25" i="50" l="1"/>
  <c r="F27" i="50" s="1"/>
  <c r="F38" i="50"/>
  <c r="F15" i="32"/>
  <c r="F16" i="32" s="1"/>
  <c r="G38" i="50" l="1"/>
  <c r="K38" i="50" l="1"/>
  <c r="G26" i="50" s="1"/>
  <c r="G27" i="50" s="1"/>
  <c r="J38" i="50"/>
  <c r="I38" i="50"/>
  <c r="H38" i="50"/>
  <c r="F28" i="50" l="1"/>
  <c r="F29" i="50" s="1"/>
  <c r="F39" i="50" s="1"/>
  <c r="G28" i="50"/>
  <c r="G29" i="50"/>
  <c r="I39" i="50" l="1"/>
  <c r="J39" i="50"/>
  <c r="D7" i="56"/>
  <c r="L58" i="50"/>
  <c r="D7" i="46"/>
  <c r="G39" i="50"/>
  <c r="D8" i="42"/>
  <c r="K39" i="50"/>
  <c r="H39" i="50"/>
  <c r="C5" i="47"/>
  <c r="L57" i="50"/>
  <c r="I8" i="42" l="1"/>
  <c r="I7" i="46"/>
  <c r="I7" i="56"/>
  <c r="Q57" i="50"/>
  <c r="H5" i="47"/>
  <c r="Q58" i="50"/>
  <c r="P57" i="50"/>
  <c r="H8" i="42"/>
  <c r="G5" i="47"/>
  <c r="P58" i="50"/>
  <c r="H7" i="56"/>
  <c r="H7" i="46"/>
  <c r="E8" i="42"/>
  <c r="M58" i="50"/>
  <c r="D5" i="47"/>
  <c r="E7" i="46"/>
  <c r="M57" i="50"/>
  <c r="E7" i="56"/>
  <c r="D14" i="42"/>
  <c r="D13" i="42"/>
  <c r="L59" i="50"/>
  <c r="C10" i="47"/>
  <c r="C11" i="47"/>
  <c r="N58" i="50"/>
  <c r="F7" i="46"/>
  <c r="F7" i="56"/>
  <c r="N57" i="50"/>
  <c r="E5" i="47"/>
  <c r="F8" i="42"/>
  <c r="G8" i="42"/>
  <c r="O57" i="50"/>
  <c r="F5" i="47"/>
  <c r="G7" i="46"/>
  <c r="G7" i="56"/>
  <c r="O58" i="50"/>
  <c r="C12" i="47" l="1"/>
  <c r="D10" i="47"/>
  <c r="D11" i="47"/>
  <c r="P59" i="50"/>
  <c r="H13" i="42"/>
  <c r="I14" i="42"/>
  <c r="D18" i="56"/>
  <c r="D18" i="42"/>
  <c r="D26" i="46"/>
  <c r="D20" i="46"/>
  <c r="D24" i="56"/>
  <c r="C7" i="47"/>
  <c r="D15" i="42"/>
  <c r="H10" i="47"/>
  <c r="H11" i="47"/>
  <c r="I13" i="42"/>
  <c r="Q59" i="50"/>
  <c r="D19" i="42"/>
  <c r="E10" i="47"/>
  <c r="E11" i="47"/>
  <c r="E14" i="42"/>
  <c r="F13" i="42"/>
  <c r="N59" i="50"/>
  <c r="H14" i="42"/>
  <c r="G14" i="42"/>
  <c r="F10" i="47"/>
  <c r="F11" i="47"/>
  <c r="F14" i="42"/>
  <c r="G13" i="42"/>
  <c r="O59" i="50"/>
  <c r="E13" i="42"/>
  <c r="M59" i="50"/>
  <c r="G11" i="47"/>
  <c r="G10" i="47"/>
  <c r="F12" i="47" l="1"/>
  <c r="H12" i="47"/>
  <c r="I19" i="42"/>
  <c r="H18" i="42"/>
  <c r="G7" i="47"/>
  <c r="H15" i="42"/>
  <c r="F19" i="42"/>
  <c r="D19" i="56"/>
  <c r="D10" i="56" s="1"/>
  <c r="D10" i="46" s="1"/>
  <c r="L18" i="56"/>
  <c r="L19" i="56" s="1"/>
  <c r="L10" i="56" s="1"/>
  <c r="E7" i="47"/>
  <c r="F18" i="42"/>
  <c r="F15" i="42"/>
  <c r="D25" i="56"/>
  <c r="D11" i="56" s="1"/>
  <c r="D11" i="46" s="1"/>
  <c r="L24" i="56"/>
  <c r="L25" i="56" s="1"/>
  <c r="L11" i="56" s="1"/>
  <c r="G19" i="42"/>
  <c r="D21" i="46"/>
  <c r="D12" i="46" s="1"/>
  <c r="L20" i="46"/>
  <c r="L21" i="46" s="1"/>
  <c r="L12" i="46" s="1"/>
  <c r="D7" i="47"/>
  <c r="E15" i="42"/>
  <c r="E18" i="42"/>
  <c r="H19" i="42"/>
  <c r="I15" i="42"/>
  <c r="I18" i="42"/>
  <c r="H7" i="47"/>
  <c r="D27" i="46"/>
  <c r="D13" i="46" s="1"/>
  <c r="L26" i="46"/>
  <c r="L27" i="46" s="1"/>
  <c r="L13" i="46" s="1"/>
  <c r="E19" i="42"/>
  <c r="G18" i="42"/>
  <c r="G20" i="42" s="1"/>
  <c r="F7" i="47"/>
  <c r="G15" i="42"/>
  <c r="G12" i="47"/>
  <c r="E12" i="47"/>
  <c r="D20" i="42"/>
  <c r="C17" i="47" s="1"/>
  <c r="D12" i="47"/>
  <c r="I20" i="42" l="1"/>
  <c r="I22" i="42" s="1"/>
  <c r="E20" i="42"/>
  <c r="D17" i="47" s="1"/>
  <c r="F17" i="47"/>
  <c r="G22" i="42"/>
  <c r="H20" i="42"/>
  <c r="E22" i="42"/>
  <c r="E23" i="42" s="1"/>
  <c r="N18" i="56"/>
  <c r="N19" i="56" s="1"/>
  <c r="F19" i="56"/>
  <c r="F27" i="46"/>
  <c r="N26" i="46"/>
  <c r="N27" i="46" s="1"/>
  <c r="H27" i="46"/>
  <c r="P26" i="46"/>
  <c r="P27" i="46" s="1"/>
  <c r="G21" i="46"/>
  <c r="O20" i="46"/>
  <c r="O21" i="46" s="1"/>
  <c r="M24" i="56"/>
  <c r="M25" i="56" s="1"/>
  <c r="E25" i="56"/>
  <c r="N24" i="56"/>
  <c r="N25" i="56" s="1"/>
  <c r="F25" i="56"/>
  <c r="L12" i="56"/>
  <c r="C26" i="47" s="1"/>
  <c r="C32" i="47" s="1"/>
  <c r="E19" i="56"/>
  <c r="M18" i="56"/>
  <c r="M19" i="56" s="1"/>
  <c r="Q24" i="56"/>
  <c r="Q25" i="56" s="1"/>
  <c r="I25" i="56"/>
  <c r="I19" i="56"/>
  <c r="Q18" i="56"/>
  <c r="Q19" i="56" s="1"/>
  <c r="M20" i="46"/>
  <c r="M21" i="46" s="1"/>
  <c r="E21" i="46"/>
  <c r="H19" i="56"/>
  <c r="P18" i="56"/>
  <c r="P19" i="56" s="1"/>
  <c r="G19" i="56"/>
  <c r="O18" i="56"/>
  <c r="O19" i="56" s="1"/>
  <c r="I21" i="46"/>
  <c r="Q20" i="46"/>
  <c r="Q21" i="46" s="1"/>
  <c r="L14" i="46"/>
  <c r="F21" i="46"/>
  <c r="N20" i="46"/>
  <c r="N21" i="46" s="1"/>
  <c r="H25" i="56"/>
  <c r="P24" i="56"/>
  <c r="P25" i="56" s="1"/>
  <c r="O24" i="56"/>
  <c r="O25" i="56" s="1"/>
  <c r="G25" i="56"/>
  <c r="O26" i="46"/>
  <c r="O27" i="46" s="1"/>
  <c r="G27" i="46"/>
  <c r="Q26" i="46"/>
  <c r="Q27" i="46" s="1"/>
  <c r="I27" i="46"/>
  <c r="M26" i="46"/>
  <c r="M27" i="46" s="1"/>
  <c r="E27" i="46"/>
  <c r="F20" i="42"/>
  <c r="H21" i="46"/>
  <c r="P20" i="46"/>
  <c r="P21" i="46" s="1"/>
  <c r="H17" i="47" l="1"/>
  <c r="D19" i="47"/>
  <c r="D18" i="47"/>
  <c r="I26" i="56"/>
  <c r="I11" i="56"/>
  <c r="I11" i="46" s="1"/>
  <c r="H41" i="47" s="1"/>
  <c r="H28" i="46"/>
  <c r="G43" i="47" s="1"/>
  <c r="H13" i="46"/>
  <c r="Q13" i="46"/>
  <c r="Q28" i="46"/>
  <c r="M11" i="56"/>
  <c r="M26" i="56"/>
  <c r="Q22" i="46"/>
  <c r="Q12" i="46"/>
  <c r="P12" i="46"/>
  <c r="P22" i="46"/>
  <c r="E11" i="56"/>
  <c r="E11" i="46" s="1"/>
  <c r="D41" i="47" s="1"/>
  <c r="E26" i="56"/>
  <c r="H22" i="46"/>
  <c r="G42" i="47" s="1"/>
  <c r="H12" i="46"/>
  <c r="E10" i="56"/>
  <c r="E10" i="46" s="1"/>
  <c r="D40" i="47" s="1"/>
  <c r="E20" i="56"/>
  <c r="O22" i="46"/>
  <c r="O12" i="46"/>
  <c r="N28" i="46"/>
  <c r="N13" i="46"/>
  <c r="G17" i="47"/>
  <c r="H22" i="42"/>
  <c r="H23" i="42" s="1"/>
  <c r="N10" i="56"/>
  <c r="N20" i="56"/>
  <c r="Q11" i="56"/>
  <c r="Q26" i="56"/>
  <c r="O26" i="56"/>
  <c r="O11" i="56"/>
  <c r="M20" i="56"/>
  <c r="M10" i="56"/>
  <c r="P26" i="56"/>
  <c r="P11" i="56"/>
  <c r="G28" i="46"/>
  <c r="F43" i="47" s="1"/>
  <c r="G13" i="46"/>
  <c r="H26" i="56"/>
  <c r="H11" i="56"/>
  <c r="H11" i="46" s="1"/>
  <c r="G41" i="47" s="1"/>
  <c r="E22" i="46"/>
  <c r="D42" i="47" s="1"/>
  <c r="E12" i="46"/>
  <c r="G22" i="46"/>
  <c r="F42" i="47" s="1"/>
  <c r="G12" i="46"/>
  <c r="F28" i="46"/>
  <c r="E43" i="47" s="1"/>
  <c r="F13" i="46"/>
  <c r="I13" i="46"/>
  <c r="I28" i="46"/>
  <c r="H43" i="47" s="1"/>
  <c r="N11" i="56"/>
  <c r="N26" i="56"/>
  <c r="G20" i="56"/>
  <c r="G10" i="56"/>
  <c r="G10" i="46" s="1"/>
  <c r="F40" i="47" s="1"/>
  <c r="O13" i="46"/>
  <c r="O28" i="46"/>
  <c r="M12" i="46"/>
  <c r="M22" i="46"/>
  <c r="F18" i="47"/>
  <c r="I22" i="46"/>
  <c r="H42" i="47" s="1"/>
  <c r="I12" i="46"/>
  <c r="P10" i="56"/>
  <c r="P20" i="56"/>
  <c r="F22" i="42"/>
  <c r="F23" i="42" s="1"/>
  <c r="E17" i="47"/>
  <c r="F19" i="47" s="1"/>
  <c r="E13" i="46"/>
  <c r="E28" i="46"/>
  <c r="D43" i="47" s="1"/>
  <c r="Q20" i="56"/>
  <c r="Q10" i="56"/>
  <c r="H18" i="47"/>
  <c r="H19" i="47"/>
  <c r="G26" i="56"/>
  <c r="G11" i="56"/>
  <c r="G11" i="46" s="1"/>
  <c r="F41" i="47" s="1"/>
  <c r="O20" i="56"/>
  <c r="O10" i="56"/>
  <c r="H10" i="56"/>
  <c r="H10" i="46" s="1"/>
  <c r="G40" i="47" s="1"/>
  <c r="H20" i="56"/>
  <c r="N12" i="46"/>
  <c r="N22" i="46"/>
  <c r="F22" i="46"/>
  <c r="E42" i="47" s="1"/>
  <c r="F12" i="46"/>
  <c r="M13" i="46"/>
  <c r="M28" i="46"/>
  <c r="I10" i="56"/>
  <c r="I10" i="46" s="1"/>
  <c r="H40" i="47" s="1"/>
  <c r="I20" i="56"/>
  <c r="F11" i="56"/>
  <c r="F11" i="46" s="1"/>
  <c r="E41" i="47" s="1"/>
  <c r="F26" i="56"/>
  <c r="P13" i="46"/>
  <c r="P28" i="46"/>
  <c r="F10" i="56"/>
  <c r="F10" i="46" s="1"/>
  <c r="E40" i="47" s="1"/>
  <c r="F20" i="56"/>
  <c r="I23" i="42"/>
  <c r="M12" i="56" l="1"/>
  <c r="D26" i="47" s="1"/>
  <c r="D28" i="47" s="1"/>
  <c r="P12" i="56"/>
  <c r="G26" i="47" s="1"/>
  <c r="G32" i="47" s="1"/>
  <c r="O12" i="56"/>
  <c r="F26" i="47" s="1"/>
  <c r="N14" i="46"/>
  <c r="Q14" i="46"/>
  <c r="G23" i="42"/>
  <c r="Q12" i="56"/>
  <c r="H26" i="47" s="1"/>
  <c r="O14" i="46"/>
  <c r="P14" i="46"/>
  <c r="N12" i="56"/>
  <c r="E26" i="47" s="1"/>
  <c r="E32" i="47" s="1"/>
  <c r="E19" i="47"/>
  <c r="E18" i="47"/>
  <c r="G18" i="47"/>
  <c r="G19" i="47"/>
  <c r="M14" i="46"/>
  <c r="D27" i="47" l="1"/>
  <c r="D32" i="47"/>
  <c r="E34" i="47" s="1"/>
  <c r="G27" i="47"/>
  <c r="G28" i="47"/>
  <c r="F32" i="47"/>
  <c r="F34" i="47" s="1"/>
  <c r="F28" i="47"/>
  <c r="F27" i="47"/>
  <c r="H27" i="47"/>
  <c r="H28" i="47"/>
  <c r="H32" i="47"/>
  <c r="E33" i="47"/>
  <c r="G33" i="47"/>
  <c r="E28" i="47"/>
  <c r="E27" i="47"/>
  <c r="G34" i="47" l="1"/>
  <c r="D33" i="47"/>
  <c r="D34" i="47"/>
  <c r="F33" i="47"/>
  <c r="H33" i="47"/>
  <c r="H34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97C3E73E-C162-4E44-852D-19B4F1AF60A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16FABBE4-3594-4131-9FCC-1A2667BBA34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BBE165A2-E784-47F7-8F7B-F09D0B20E89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<sst xmlns="http://schemas.openxmlformats.org/spreadsheetml/2006/main" count="1896" uniqueCount="960">
  <si>
    <t>Putting NICE guidance into practice</t>
  </si>
  <si>
    <t>Resource impact template:</t>
  </si>
  <si>
    <t>Vibegron for the symptoms of overactive bladder</t>
  </si>
  <si>
    <t>Published: September 2024</t>
  </si>
  <si>
    <t>Specialty area</t>
  </si>
  <si>
    <t>Urology</t>
  </si>
  <si>
    <t>Disease area</t>
  </si>
  <si>
    <t>Overactive bladder</t>
  </si>
  <si>
    <t>Pathway position</t>
  </si>
  <si>
    <t>Second line (after antimuscarinics)</t>
  </si>
  <si>
    <t>Administration method</t>
  </si>
  <si>
    <t>Oral</t>
  </si>
  <si>
    <t>Provider</t>
  </si>
  <si>
    <t>Primary and secondary care</t>
  </si>
  <si>
    <t>Commissioner</t>
  </si>
  <si>
    <t>Integrated care boards</t>
  </si>
  <si>
    <t>Programme budget category</t>
  </si>
  <si>
    <t>PBC 17X Problems of Genito Urinary system</t>
  </si>
  <si>
    <t>Implementation period</t>
  </si>
  <si>
    <t>30 days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</si>
  <si>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</si>
  <si>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</si>
  <si>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</si>
  <si>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</si>
  <si>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</si>
  <si>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</si>
  <si>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</si>
  <si>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</si>
  <si>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</si>
  <si>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</si>
  <si>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</si>
  <si>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</si>
  <si>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</si>
  <si>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</si>
  <si>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</si>
  <si>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</si>
  <si>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</si>
  <si>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</si>
  <si>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</si>
  <si>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</si>
  <si>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</si>
  <si>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</si>
  <si>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</si>
  <si>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</si>
  <si>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</si>
  <si>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</si>
  <si>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</si>
  <si>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</si>
  <si>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</si>
  <si>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</si>
  <si>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</si>
  <si>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</si>
  <si>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</si>
  <si>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</si>
  <si>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</si>
  <si>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</si>
  <si>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</si>
  <si>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</si>
  <si>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</si>
  <si>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</si>
  <si>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</si>
  <si>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</si>
  <si>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</si>
  <si>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</si>
  <si>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</si>
  <si>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</si>
  <si>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</si>
  <si>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</si>
  <si>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</si>
  <si>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</si>
  <si>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</si>
  <si>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</si>
  <si>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</si>
  <si>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</si>
  <si>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</si>
  <si>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</si>
  <si>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</si>
  <si>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</si>
  <si>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</si>
  <si>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</si>
  <si>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</si>
  <si>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</si>
  <si>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</si>
  <si>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</si>
  <si>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</si>
  <si>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</si>
  <si>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</si>
  <si>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</si>
  <si>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</si>
  <si>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</si>
  <si>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</si>
  <si>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</si>
  <si>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</si>
  <si>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</si>
  <si>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</si>
  <si>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</si>
  <si>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</si>
  <si>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</si>
  <si>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</si>
  <si>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</si>
  <si>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</si>
  <si>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</si>
  <si>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</si>
  <si>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</si>
  <si>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</si>
  <si>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</si>
  <si>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</si>
  <si>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</si>
  <si>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</si>
  <si>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</si>
  <si>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</si>
  <si>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</si>
  <si>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</si>
  <si>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</si>
  <si>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</si>
  <si>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</si>
  <si>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</si>
  <si>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</si>
  <si>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</si>
  <si>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</si>
  <si>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</si>
  <si>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</si>
  <si>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</si>
  <si>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</si>
  <si>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</si>
  <si>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</si>
  <si>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</si>
  <si>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</si>
  <si>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</si>
  <si>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</si>
  <si>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</si>
  <si>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</si>
  <si>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</si>
  <si>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</si>
  <si>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</si>
  <si>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</si>
  <si>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</si>
  <si>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</si>
  <si>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</si>
  <si>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</si>
  <si>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</si>
  <si>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</si>
  <si>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</si>
  <si>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</si>
  <si>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</si>
  <si>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</si>
  <si>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</si>
  <si>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</si>
  <si>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</si>
  <si>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</si>
  <si>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</si>
  <si>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</si>
  <si>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</si>
  <si>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</si>
  <si>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</si>
  <si>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</si>
  <si>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</si>
  <si>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</si>
  <si>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</si>
  <si>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</si>
  <si>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</si>
  <si>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</si>
  <si>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</si>
  <si>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</si>
  <si>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</si>
  <si>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</si>
  <si>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</si>
  <si>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</si>
  <si>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</si>
  <si>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</si>
  <si>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</si>
  <si>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</si>
  <si>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</si>
  <si>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</si>
  <si>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</si>
  <si>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</si>
  <si>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</si>
  <si>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</si>
  <si>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</si>
  <si>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</si>
  <si>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</si>
  <si>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</si>
  <si>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</si>
  <si>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</si>
  <si>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</si>
  <si>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</si>
  <si>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</si>
  <si>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</si>
  <si>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</si>
  <si>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</si>
  <si>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</si>
  <si>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</si>
  <si>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</si>
  <si>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</si>
  <si>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</si>
  <si>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</si>
  <si>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</si>
  <si>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</si>
  <si>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</si>
  <si>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</si>
  <si>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</si>
  <si>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</si>
  <si>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</si>
  <si>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</si>
  <si>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</si>
  <si>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</si>
  <si>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</si>
  <si>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</si>
  <si>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</si>
  <si>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</si>
  <si>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</si>
  <si>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</si>
  <si>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</si>
  <si>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</si>
  <si>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</si>
  <si>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</si>
  <si>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</si>
  <si>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</si>
  <si>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</si>
  <si>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</si>
  <si>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</si>
  <si>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</si>
  <si>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</si>
  <si>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</si>
  <si>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</si>
  <si>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</si>
  <si>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</si>
  <si>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</si>
  <si>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</si>
  <si>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</si>
  <si>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</si>
  <si>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</si>
  <si>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</si>
  <si>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</si>
  <si>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</si>
  <si>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</si>
  <si>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</si>
  <si>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</si>
  <si>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</si>
  <si>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</si>
  <si>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</si>
  <si>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</si>
  <si>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</si>
  <si>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</si>
  <si>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</si>
  <si>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</si>
  <si>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</si>
  <si>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</si>
  <si>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</si>
  <si>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</si>
  <si>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</si>
  <si>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</si>
  <si>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</si>
  <si>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</si>
  <si>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</si>
  <si>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</si>
  <si>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</si>
  <si>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</si>
  <si>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</si>
  <si>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</si>
  <si>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</si>
  <si>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</si>
  <si>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</si>
  <si>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</si>
  <si>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</si>
  <si>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</si>
  <si>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</si>
  <si>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</si>
  <si>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</si>
  <si>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</si>
  <si>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</si>
  <si>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</si>
  <si>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</si>
  <si>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</si>
  <si>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</si>
  <si>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</si>
  <si>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</si>
  <si>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</si>
  <si>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</si>
  <si>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</si>
  <si>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</si>
  <si>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</si>
  <si>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</si>
  <si>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</si>
  <si>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</si>
  <si>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</si>
  <si>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</si>
  <si>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</si>
  <si>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</si>
  <si>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</si>
  <si>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</si>
  <si>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</si>
  <si>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</si>
  <si>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</si>
  <si>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</si>
  <si>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</si>
  <si>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</si>
  <si>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</si>
  <si>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</si>
  <si>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</si>
  <si>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</si>
  <si>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</si>
  <si>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</si>
  <si>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</si>
  <si>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</si>
  <si>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</si>
  <si>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</si>
  <si>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</si>
  <si>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</si>
  <si>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</si>
  <si>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</si>
  <si>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</si>
  <si>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</si>
  <si>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</si>
  <si>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</si>
  <si>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</si>
  <si>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</si>
  <si>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</si>
  <si>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</si>
  <si>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</si>
  <si>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</si>
  <si>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</si>
  <si>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</si>
  <si>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</si>
  <si>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</si>
  <si>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</si>
  <si>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</si>
  <si>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</si>
  <si>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</si>
  <si>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</si>
  <si>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</si>
  <si>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</si>
  <si>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</si>
  <si>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</si>
  <si>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</si>
  <si>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</si>
  <si>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</si>
  <si>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</si>
  <si>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</si>
  <si>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</si>
  <si>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</si>
  <si>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</si>
  <si>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</si>
  <si>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</si>
  <si>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</si>
  <si>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</si>
  <si>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</si>
  <si>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</si>
  <si>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</si>
  <si>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</si>
  <si>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</si>
  <si>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</si>
  <si>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</si>
  <si>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</si>
  <si>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</si>
  <si>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</si>
  <si>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</si>
  <si>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</si>
  <si>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</si>
  <si>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</si>
  <si>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</si>
  <si>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</si>
  <si>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</si>
  <si>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</si>
  <si>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</si>
  <si>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</si>
  <si>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</si>
  <si>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</si>
  <si>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</si>
  <si>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</si>
  <si>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</si>
  <si>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</si>
  <si>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</si>
  <si>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</si>
  <si>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</si>
  <si>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</si>
  <si>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</si>
  <si>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</si>
  <si>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</si>
  <si>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</si>
  <si>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</si>
  <si>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</si>
  <si>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</si>
  <si>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</si>
  <si>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</si>
  <si>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</si>
  <si>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</si>
  <si>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</si>
  <si>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</si>
  <si>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</si>
  <si>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</si>
  <si>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</si>
  <si>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</si>
  <si>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</si>
  <si>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</si>
  <si>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</si>
  <si>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</si>
  <si>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</si>
  <si>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</si>
  <si>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</si>
  <si>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</si>
  <si>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</si>
  <si>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</si>
  <si>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</si>
  <si>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</si>
  <si>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</si>
  <si>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</si>
  <si>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</si>
  <si>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</si>
  <si>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</si>
  <si>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</si>
  <si>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</si>
  <si>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</si>
  <si>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</si>
  <si>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</si>
  <si>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</si>
  <si>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</si>
  <si>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</si>
  <si>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</si>
  <si>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</si>
  <si>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</si>
  <si>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</si>
  <si>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</si>
  <si>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</si>
  <si>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</si>
  <si>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</si>
  <si>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</si>
  <si>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</si>
  <si>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</si>
  <si>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</si>
  <si>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</si>
  <si>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</si>
  <si>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</si>
  <si>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</si>
  <si>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</si>
  <si>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</si>
  <si>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</si>
  <si>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</si>
  <si>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</si>
  <si>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</si>
  <si>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</si>
  <si>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</si>
  <si>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</si>
  <si>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</si>
  <si>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</si>
  <si>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</si>
  <si>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</si>
  <si>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</si>
  <si>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</si>
  <si>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</si>
  <si>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</si>
  <si>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</si>
  <si>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</si>
  <si>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</si>
  <si>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</si>
  <si>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</si>
  <si>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</si>
  <si>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</si>
  <si>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</si>
  <si>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</si>
  <si>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</si>
  <si>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</si>
  <si>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</si>
  <si>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</si>
  <si>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</si>
  <si>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</si>
  <si>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</si>
  <si>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</si>
  <si>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</si>
  <si>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</si>
  <si>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</si>
  <si>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</si>
  <si>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</si>
  <si>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</si>
  <si>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</si>
  <si>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</si>
  <si>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</si>
  <si>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</si>
  <si>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</si>
  <si>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</si>
  <si>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</si>
  <si>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</si>
  <si>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</si>
  <si>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</si>
  <si>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</si>
  <si>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</si>
  <si>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</si>
  <si>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</si>
  <si>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</si>
  <si>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</si>
  <si>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</si>
  <si>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</si>
  <si>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</si>
  <si>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</si>
  <si>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</si>
  <si>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</si>
  <si>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</si>
  <si>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</si>
  <si>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</si>
  <si>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</si>
  <si>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</si>
  <si>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</si>
  <si>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</si>
  <si>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</si>
  <si>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</si>
  <si>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</si>
  <si>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</si>
  <si>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</si>
  <si>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</si>
  <si>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</si>
  <si>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</si>
  <si>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</si>
  <si>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</si>
  <si>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</si>
  <si>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</si>
  <si>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</si>
  <si>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</si>
  <si>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</si>
  <si>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</si>
  <si>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</si>
  <si>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</si>
  <si>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</si>
  <si>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</si>
  <si>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</si>
  <si>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</si>
  <si>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</si>
  <si>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</si>
  <si>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</si>
  <si>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</si>
  <si>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</si>
  <si>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</si>
  <si>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</si>
  <si>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</si>
  <si>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</si>
  <si>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</si>
  <si>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</si>
  <si>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</si>
  <si>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</si>
  <si>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</si>
  <si>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</si>
  <si>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</si>
  <si>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</si>
  <si>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</si>
  <si>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</si>
  <si>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</si>
  <si>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</si>
  <si>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</si>
  <si>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</si>
  <si>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</si>
  <si>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</si>
  <si>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</si>
  <si>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</si>
  <si>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</si>
  <si>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</si>
  <si>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</si>
  <si>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</si>
  <si>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</si>
  <si>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</si>
  <si>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</si>
  <si>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</si>
  <si>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</si>
  <si>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</si>
  <si>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</si>
  <si>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</si>
  <si>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</si>
  <si>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</si>
  <si>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</si>
  <si>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</si>
  <si>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</si>
  <si>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</si>
  <si>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</si>
  <si>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</si>
  <si>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</si>
  <si>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</si>
  <si>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</si>
  <si>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</si>
  <si>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</si>
  <si>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</si>
  <si>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</si>
  <si>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</si>
  <si>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</si>
  <si>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</si>
  <si>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</si>
  <si>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</si>
  <si>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</si>
  <si>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</si>
  <si>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</si>
  <si>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</si>
  <si>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</si>
  <si>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</si>
  <si>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</si>
  <si>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</si>
  <si>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</si>
  <si>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</si>
  <si>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</si>
  <si>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</si>
  <si>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</si>
  <si>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</si>
  <si>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</si>
  <si>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</si>
  <si>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</si>
  <si>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</si>
  <si>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</si>
  <si>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</si>
  <si>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</si>
  <si>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</si>
  <si>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</si>
  <si>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</si>
  <si>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</si>
  <si>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</si>
  <si>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</si>
  <si>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</si>
  <si>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</si>
  <si>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</si>
  <si>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</si>
  <si>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</si>
  <si>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</si>
  <si>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</si>
  <si>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</si>
  <si>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</si>
  <si>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</si>
  <si>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</si>
  <si>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</si>
  <si>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</si>
  <si>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</si>
  <si>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</si>
  <si>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</si>
  <si>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</si>
  <si>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</si>
  <si>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</si>
  <si>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</si>
  <si>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</si>
  <si>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</si>
  <si>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</si>
  <si>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</si>
  <si>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</si>
  <si>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</si>
  <si>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</si>
  <si>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</si>
  <si>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</si>
  <si>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</si>
  <si>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</si>
  <si>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</si>
  <si>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</si>
  <si>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</si>
  <si>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</si>
  <si>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</si>
  <si>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</si>
  <si>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</si>
  <si>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</si>
  <si>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</si>
  <si>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</si>
  <si>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</si>
  <si>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</si>
  <si>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</si>
  <si>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</si>
  <si>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</si>
  <si>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</si>
  <si>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</si>
  <si>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</si>
  <si>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</si>
  <si>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</si>
  <si>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</si>
  <si>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</si>
  <si>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</si>
  <si>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</si>
  <si>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</si>
  <si>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</si>
  <si>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</si>
  <si>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</si>
  <si>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</si>
  <si>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</si>
  <si>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</si>
  <si>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</si>
  <si>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</si>
  <si>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</si>
  <si>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</si>
  <si>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</si>
  <si>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</si>
  <si>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</si>
  <si>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</si>
  <si>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</si>
  <si>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</si>
  <si>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</si>
  <si>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</si>
  <si>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Prevalence of overactive bladder</t>
  </si>
  <si>
    <t>Manufacturer EPIC study</t>
  </si>
  <si>
    <t>Proportion of people prescribed mirabegron annually</t>
  </si>
  <si>
    <t>Annual prescribing data request April 2023-March 2024, accessed online 15.08.24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</si>
  <si>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</si>
  <si>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</si>
  <si>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</si>
  <si>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</si>
  <si>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</si>
  <si>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</si>
  <si>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</si>
  <si>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</si>
  <si>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</si>
  <si>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</si>
  <si>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</si>
  <si>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length (days)</t>
  </si>
  <si>
    <t>No of days given</t>
  </si>
  <si>
    <t>cycles year 1</t>
  </si>
  <si>
    <t>cycles year 2</t>
  </si>
  <si>
    <t>cycles year 3</t>
  </si>
  <si>
    <t>cycles year 4</t>
  </si>
  <si>
    <t>cycles year 5</t>
  </si>
  <si>
    <t>total</t>
  </si>
  <si>
    <t>Vibegron</t>
  </si>
  <si>
    <t>Mirabegron</t>
  </si>
  <si>
    <t>Drug</t>
  </si>
  <si>
    <t>Strength, container type, quantity</t>
  </si>
  <si>
    <t>Price</t>
  </si>
  <si>
    <t>VAT rate applicable</t>
  </si>
  <si>
    <t>Source</t>
  </si>
  <si>
    <t>50mg or 75mg, tablets, pack of 30</t>
  </si>
  <si>
    <t>25mg or 50mg, tablets, pack of 30</t>
  </si>
  <si>
    <t>BNF</t>
  </si>
  <si>
    <t>Drug details for mirabegron as per BNF</t>
  </si>
  <si>
    <t>Amend VAT locally.  It is assumed that will initiate treatment in secondary care incurring 20% VAT for the first administration.  Thereafter treatment is in primary care incurring 0% VAT.  For simplicity 0% VAT is applied.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</si>
  <si>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</si>
  <si>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</si>
  <si>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</si>
  <si>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</si>
  <si>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</si>
  <si>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</si>
  <si>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</si>
  <si>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</si>
  <si>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Market share estimates are as per company submission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</si>
  <si>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</si>
  <si>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</si>
  <si>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</si>
  <si>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</si>
  <si>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</si>
  <si>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</si>
  <si>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</si>
  <si>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</si>
  <si>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</si>
  <si>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</si>
  <si>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</si>
  <si>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</si>
  <si>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</si>
  <si>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</si>
  <si>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</si>
  <si>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</si>
  <si>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Notes</t>
  </si>
  <si>
    <t>Vibegron is expected to be delivered mostly through primary care, however a proportion of people may initiate treatment in secondary care.  Please enter the expected number of specialist secondary care appointments above.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</si>
  <si>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</si>
  <si>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</si>
  <si>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</si>
  <si>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</si>
  <si>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</si>
  <si>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</si>
  <si>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</si>
  <si>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</si>
  <si>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</si>
  <si>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</si>
  <si>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</si>
  <si>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</si>
  <si>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</si>
  <si>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</si>
  <si>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</si>
  <si>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</si>
  <si>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</si>
  <si>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</si>
  <si>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</si>
  <si>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</si>
  <si>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</si>
  <si>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</si>
  <si>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</si>
  <si>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</si>
  <si>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</si>
  <si>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</si>
  <si>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</si>
  <si>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</si>
  <si>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</si>
  <si>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</si>
  <si>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</si>
  <si>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</si>
  <si>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</si>
  <si>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</si>
  <si>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n/a</t>
  </si>
  <si>
    <t>All components</t>
  </si>
  <si>
    <t xml:space="preserve">Vibegron dosing based on company submission. </t>
  </si>
  <si>
    <t>Mirabegron dosing based on Summary of Product Characteristics accessed online 12 August 2024.</t>
  </si>
  <si>
    <t>Electronic Medicines Compendium, EMC.</t>
  </si>
  <si>
    <t>Where different packs are used, amend the blue cells where necessary.</t>
  </si>
  <si>
    <t xml:space="preserve">National  </t>
  </si>
  <si>
    <t>Local</t>
  </si>
  <si>
    <t>The</t>
  </si>
  <si>
    <t>Appointments with specialist</t>
  </si>
  <si>
    <t xml:space="preserve">prices </t>
  </si>
  <si>
    <t>prices</t>
  </si>
  <si>
    <t xml:space="preserve">selection </t>
  </si>
  <si>
    <t>Treatment option</t>
  </si>
  <si>
    <t>HRG code</t>
  </si>
  <si>
    <t>HRG description</t>
  </si>
  <si>
    <t>Tariff</t>
  </si>
  <si>
    <t>are</t>
  </si>
  <si>
    <t xml:space="preserve">can be </t>
  </si>
  <si>
    <t>between</t>
  </si>
  <si>
    <t>First attendance</t>
  </si>
  <si>
    <t>WF01B</t>
  </si>
  <si>
    <t>First Attendance - Single Professional  - TFC 101</t>
  </si>
  <si>
    <t>used</t>
  </si>
  <si>
    <t xml:space="preserve">used as </t>
  </si>
  <si>
    <t xml:space="preserve">using </t>
  </si>
  <si>
    <t>Follow up attendance</t>
  </si>
  <si>
    <t>WF01A</t>
  </si>
  <si>
    <t>Follow Up Attendance - Single Professional  - TFC 101</t>
  </si>
  <si>
    <t>on the</t>
  </si>
  <si>
    <t xml:space="preserve">as an </t>
  </si>
  <si>
    <t>local or</t>
  </si>
  <si>
    <t>Based on 2023-25 National Tariff Payment System –  24-25 prices</t>
  </si>
  <si>
    <t>left.</t>
  </si>
  <si>
    <t>alternative.</t>
  </si>
  <si>
    <t>national</t>
  </si>
  <si>
    <t>is made</t>
  </si>
  <si>
    <t>summary</t>
  </si>
  <si>
    <t>worksheet.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</si>
  <si>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</si>
  <si>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</si>
  <si>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</si>
  <si>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</si>
  <si>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</si>
  <si>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</si>
  <si>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having vibegron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</si>
  <si>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</si>
  <si>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</si>
  <si>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</si>
  <si>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</si>
  <si>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</si>
  <si>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</si>
  <si>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</si>
  <si>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</si>
  <si>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</si>
  <si>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</si>
  <si>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</si>
  <si>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</si>
  <si>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</si>
  <si>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</si>
  <si>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</si>
  <si>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</si>
  <si>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</si>
  <si>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</si>
  <si>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</si>
  <si>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</si>
  <si>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</si>
  <si>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</si>
  <si>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</si>
  <si>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</si>
  <si>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</si>
  <si>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</si>
  <si>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</si>
  <si>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</si>
  <si>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</si>
  <si>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</si>
  <si>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</si>
  <si>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</si>
  <si>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</si>
  <si>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</si>
  <si>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</si>
  <si>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Administrations - change in number of attendances current practice</t>
  </si>
  <si>
    <t>Follow up attendances hours and cost</t>
  </si>
  <si>
    <t>Capacity impact (national prices)</t>
  </si>
  <si>
    <t>First attendances - number of appointments</t>
  </si>
  <si>
    <t>Unit cost</t>
  </si>
  <si>
    <t>Follow up attendances - number of appointments</t>
  </si>
  <si>
    <t>Payscales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</si>
  <si>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</si>
  <si>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</si>
  <si>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</si>
  <si>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</si>
  <si>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</si>
  <si>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</si>
  <si>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</si>
  <si>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</si>
  <si>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</si>
  <si>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</si>
  <si>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</si>
  <si>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</si>
  <si>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</si>
  <si>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Mid</t>
  </si>
  <si>
    <t>Band 6 Top</t>
  </si>
  <si>
    <t>Band 7 Bottom</t>
  </si>
  <si>
    <t>Band 7 Mid</t>
  </si>
  <si>
    <t>Band 7 Top</t>
  </si>
  <si>
    <t>Band 8a Bottom</t>
  </si>
  <si>
    <t>Band 8a Mid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</si>
  <si>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</si>
  <si>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</si>
  <si>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</si>
  <si>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</si>
  <si>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</si>
  <si>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</si>
  <si>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</si>
  <si>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</si>
  <si>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</si>
  <si>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</si>
  <si>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</si>
  <si>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</si>
  <si>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</si>
  <si>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</si>
  <si>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</si>
  <si>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</si>
  <si>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</si>
  <si>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GP Bottom</t>
  </si>
  <si>
    <t>GP Mid</t>
  </si>
  <si>
    <t>Non medical staffing</t>
  </si>
  <si>
    <t>Day per year</t>
  </si>
  <si>
    <t>Annual leave/bank holidays</t>
  </si>
  <si>
    <t>8A</t>
  </si>
  <si>
    <t>Mandatory training</t>
  </si>
  <si>
    <t>Sickness at 4%</t>
  </si>
  <si>
    <t>Annual hours per year</t>
  </si>
  <si>
    <t>8B</t>
  </si>
  <si>
    <t>Weeks worked (net of annual leave/training leave)</t>
  </si>
  <si>
    <t>Sessions worked per week (4 hour sessions)</t>
  </si>
  <si>
    <t>Less SPA allowance (4 hour sessions)</t>
  </si>
  <si>
    <t>8C</t>
  </si>
  <si>
    <t>Hours of clinical work per year</t>
  </si>
  <si>
    <t>Number of working weeks per year</t>
  </si>
  <si>
    <t>Average working hours per week</t>
  </si>
  <si>
    <t>8D</t>
  </si>
  <si>
    <t>Total hours per year</t>
  </si>
  <si>
    <t>% of direct patient care</t>
  </si>
  <si>
    <t>Number of hours of direct patient care</t>
  </si>
  <si>
    <t>Drug details for vibegron as per company submission, July 2024</t>
  </si>
  <si>
    <t>see notes</t>
  </si>
  <si>
    <t>TA999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</si>
  <si>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</si>
  <si>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</si>
  <si>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</si>
  <si>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</si>
  <si>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</si>
  <si>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</si>
  <si>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</si>
  <si>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</si>
  <si>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</si>
  <si>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</si>
  <si>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</si>
  <si>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</si>
  <si>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</si>
  <si>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</si>
  <si>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</si>
  <si>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</si>
  <si>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</si>
  <si>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</si>
  <si>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</si>
  <si>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</si>
  <si>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</si>
  <si>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</si>
  <si>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</si>
  <si>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Please select pay scale used in your locality (Non HCAS/HCA type) in the payscales tab. Default is Non HCAS</t>
  </si>
  <si>
    <t>&lt;concomitant medicine&gt;</t>
  </si>
  <si>
    <t>Add concomitant medicines above where used locally</t>
  </si>
  <si>
    <t>For illustrative purposes the above assumes people starting a drug for overactive bladder for the first time have 1 appointment in secondary care and then managed by primary care only.</t>
  </si>
  <si>
    <t>Vibegron &amp; Mirabegron</t>
  </si>
  <si>
    <t>Vibegron &amp; mirabegron</t>
  </si>
  <si>
    <t xml:space="preserve">Vibegron for treating symptoms of overactive bladder syndrome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</si>
</sst>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"/>
    <numFmt numFmtId="169" formatCode="_(* #,##0_);_(* \(#,##0\);_(* &quot;-&quot;??_);_(@_)"/>
    <numFmt numFmtId="170" formatCode="0.000%"/>
    <numFmt numFmtId="171" formatCode="0.00000%"/>
    <numFmt numFmtId="172" formatCode="0.00000000000000%"/>
    <numFmt numFmtId="173" formatCode="0.0000000%"/>
    <numFmt numFmtId="174" formatCode="0.0%"/>
  </numFmts>
  <fonts count="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10"/>
      <color rgb="FFFF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665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17" xfId="0" applyFont="1" applyFill="1" applyBorder="1"/>
    <xf numFmtId="0" fontId="39" fillId="40" borderId="0" xfId="0" applyFont="1" applyFill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24" borderId="12" xfId="0" applyFill="1" applyBorder="1"/>
    <xf numFmtId="0" fontId="0" fillId="40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0" fillId="0" borderId="34" xfId="0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60" fillId="0" borderId="0" xfId="0" applyFont="1" applyAlignment="1">
      <alignment vertical="center"/>
    </xf>
    <xf numFmtId="168" fontId="0" fillId="0" borderId="11" xfId="0" applyNumberFormat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28" fillId="0" borderId="11" xfId="72" applyBorder="1" applyAlignment="1" applyProtection="1"/>
    <xf numFmtId="0" fontId="0" fillId="0" borderId="0" xfId="0" applyAlignment="1">
      <alignment horizontal="right" vertical="center"/>
    </xf>
    <xf numFmtId="9" fontId="0" fillId="0" borderId="34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3" fillId="39" borderId="11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42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5" fillId="37" borderId="20" xfId="0" applyFont="1" applyFill="1" applyBorder="1" applyAlignment="1">
      <alignment horizontal="left"/>
    </xf>
    <xf numFmtId="0" fontId="0" fillId="40" borderId="17" xfId="0" applyFill="1" applyBorder="1"/>
    <xf numFmtId="0" fontId="44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29" fillId="29" borderId="19" xfId="0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4" fillId="24" borderId="11" xfId="0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37" borderId="34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0" borderId="11" xfId="0" applyNumberFormat="1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0" borderId="12" xfId="0" applyFill="1" applyBorder="1" applyAlignment="1">
      <alignment wrapText="1"/>
    </xf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3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3" fillId="24" borderId="0" xfId="0" applyFont="1" applyFill="1" applyAlignment="1">
      <alignment horizontal="center" vertical="center"/>
    </xf>
    <xf numFmtId="0" fontId="63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3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5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46" fillId="24" borderId="16" xfId="82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169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9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69" fontId="46" fillId="0" borderId="29" xfId="82" applyNumberFormat="1" applyFont="1" applyBorder="1"/>
    <xf numFmtId="169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6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0" fontId="29" fillId="43" borderId="11" xfId="0" applyFont="1" applyFill="1" applyBorder="1" applyAlignment="1">
      <alignment horizontal="left"/>
    </xf>
    <xf numFmtId="10" fontId="29" fillId="43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1" fontId="29" fillId="0" borderId="0" xfId="92" applyNumberFormat="1" applyFont="1" applyAlignment="1">
      <alignment horizontal="center"/>
    </xf>
    <xf numFmtId="172" fontId="29" fillId="0" borderId="0" xfId="0" applyNumberFormat="1" applyFont="1" applyAlignment="1">
      <alignment horizontal="center"/>
    </xf>
    <xf numFmtId="170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0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3" borderId="11" xfId="0" applyNumberFormat="1" applyFont="1" applyFill="1" applyBorder="1"/>
    <xf numFmtId="170" fontId="29" fillId="43" borderId="11" xfId="0" applyNumberFormat="1" applyFont="1" applyFill="1" applyBorder="1" applyAlignment="1">
      <alignment horizontal="center"/>
    </xf>
    <xf numFmtId="0" fontId="29" fillId="43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0" fillId="24" borderId="21" xfId="0" applyFill="1" applyBorder="1" applyAlignment="1">
      <alignment horizontal="center" wrapText="1"/>
    </xf>
    <xf numFmtId="0" fontId="44" fillId="0" borderId="34" xfId="0" applyFont="1" applyBorder="1" applyAlignment="1">
      <alignment horizontal="right"/>
    </xf>
    <xf numFmtId="169" fontId="48" fillId="0" borderId="14" xfId="82" applyNumberFormat="1" applyFont="1" applyBorder="1"/>
    <xf numFmtId="169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69" fontId="46" fillId="0" borderId="15" xfId="82" applyNumberFormat="1" applyFont="1" applyBorder="1"/>
    <xf numFmtId="0" fontId="46" fillId="24" borderId="11" xfId="0" applyFont="1" applyFill="1" applyBorder="1" applyAlignment="1">
      <alignment horizontal="center" wrapText="1"/>
    </xf>
    <xf numFmtId="0" fontId="0" fillId="40" borderId="18" xfId="0" applyFill="1" applyBorder="1"/>
    <xf numFmtId="0" fontId="46" fillId="40" borderId="0" xfId="0" applyFont="1" applyFill="1" applyAlignment="1">
      <alignment horizontal="left" vertical="center"/>
    </xf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44" fillId="40" borderId="20" xfId="0" applyFont="1" applyFill="1" applyBorder="1" applyAlignment="1">
      <alignment horizontal="left"/>
    </xf>
    <xf numFmtId="0" fontId="48" fillId="40" borderId="0" xfId="0" applyFont="1" applyFill="1" applyAlignment="1">
      <alignment horizontal="right" vertical="center"/>
    </xf>
    <xf numFmtId="3" fontId="44" fillId="40" borderId="0" xfId="0" applyNumberFormat="1" applyFont="1" applyFill="1"/>
    <xf numFmtId="0" fontId="39" fillId="40" borderId="14" xfId="0" applyFont="1" applyFill="1" applyBorder="1"/>
    <xf numFmtId="0" fontId="48" fillId="40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8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0" fontId="0" fillId="40" borderId="12" xfId="0" applyFill="1" applyBorder="1"/>
    <xf numFmtId="165" fontId="46" fillId="0" borderId="11" xfId="0" applyNumberFormat="1" applyFon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0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0" fontId="29" fillId="43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0" fontId="0" fillId="0" borderId="12" xfId="92" applyNumberFormat="1" applyFont="1" applyFill="1" applyBorder="1"/>
    <xf numFmtId="170" fontId="44" fillId="0" borderId="11" xfId="93" applyNumberFormat="1" applyFont="1" applyFill="1" applyBorder="1"/>
    <xf numFmtId="173" fontId="6" fillId="43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0" fontId="29" fillId="41" borderId="11" xfId="0" applyNumberFormat="1" applyFont="1" applyFill="1" applyBorder="1" applyAlignment="1">
      <alignment horizontal="center"/>
    </xf>
    <xf numFmtId="0" fontId="29" fillId="41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1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41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0" fillId="39" borderId="39" xfId="0" applyFill="1" applyBorder="1" applyProtection="1">
      <protection locked="0"/>
    </xf>
    <xf numFmtId="164" fontId="57" fillId="39" borderId="11" xfId="82" applyNumberFormat="1" applyFont="1" applyFill="1" applyBorder="1" applyProtection="1">
      <protection locked="0"/>
    </xf>
    <xf numFmtId="9" fontId="57" fillId="39" borderId="11" xfId="92" applyFont="1" applyFill="1" applyBorder="1" applyProtection="1">
      <protection locked="0"/>
    </xf>
    <xf numFmtId="168" fontId="0" fillId="39" borderId="11" xfId="0" applyNumberFormat="1" applyFill="1" applyBorder="1" applyProtection="1">
      <protection locked="0"/>
    </xf>
    <xf numFmtId="0" fontId="0" fillId="39" borderId="37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0" borderId="21" xfId="82" applyFont="1" applyBorder="1"/>
    <xf numFmtId="168" fontId="0" fillId="39" borderId="33" xfId="0" applyNumberFormat="1" applyFill="1" applyBorder="1" applyProtection="1">
      <protection locked="0"/>
    </xf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2" xfId="82" applyFont="1" applyBorder="1"/>
    <xf numFmtId="0" fontId="46" fillId="0" borderId="43" xfId="82" applyFont="1" applyBorder="1"/>
    <xf numFmtId="0" fontId="46" fillId="0" borderId="44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6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6" xfId="56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8" fontId="46" fillId="39" borderId="12" xfId="82" applyNumberFormat="1" applyFont="1" applyFill="1" applyBorder="1" applyProtection="1">
      <protection locked="0"/>
    </xf>
    <xf numFmtId="3" fontId="46" fillId="39" borderId="12" xfId="82" applyNumberFormat="1" applyFont="1" applyFill="1" applyBorder="1" applyProtection="1">
      <protection locked="0"/>
    </xf>
    <xf numFmtId="0" fontId="46" fillId="0" borderId="22" xfId="82" applyFont="1" applyBorder="1"/>
    <xf numFmtId="165" fontId="48" fillId="39" borderId="19" xfId="82" applyNumberFormat="1" applyFont="1" applyFill="1" applyBorder="1"/>
    <xf numFmtId="166" fontId="46" fillId="39" borderId="24" xfId="56" applyNumberFormat="1" applyFont="1" applyFill="1" applyBorder="1" applyProtection="1">
      <protection locked="0"/>
    </xf>
    <xf numFmtId="165" fontId="46" fillId="39" borderId="36" xfId="82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Alignment="1" applyProtection="1">
      <alignment horizontal="right"/>
      <protection locked="0"/>
    </xf>
    <xf numFmtId="0" fontId="46" fillId="39" borderId="29" xfId="82" applyFont="1" applyFill="1" applyBorder="1" applyProtection="1">
      <protection locked="0"/>
    </xf>
    <xf numFmtId="168" fontId="46" fillId="39" borderId="29" xfId="82" applyNumberFormat="1" applyFont="1" applyFill="1" applyBorder="1" applyProtection="1">
      <protection locked="0"/>
    </xf>
    <xf numFmtId="168" fontId="46" fillId="39" borderId="38" xfId="82" applyNumberFormat="1" applyFont="1" applyFill="1" applyBorder="1" applyProtection="1">
      <protection locked="0"/>
    </xf>
    <xf numFmtId="164" fontId="46" fillId="39" borderId="38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165" fontId="46" fillId="39" borderId="27" xfId="82" applyNumberFormat="1" applyFont="1" applyFill="1" applyBorder="1" applyProtection="1">
      <protection locked="0"/>
    </xf>
    <xf numFmtId="3" fontId="46" fillId="0" borderId="10" xfId="82" applyNumberFormat="1" applyFont="1" applyBorder="1"/>
    <xf numFmtId="0" fontId="46" fillId="0" borderId="45" xfId="82" applyFont="1" applyBorder="1"/>
    <xf numFmtId="165" fontId="46" fillId="0" borderId="46" xfId="82" applyNumberFormat="1" applyFont="1" applyBorder="1"/>
    <xf numFmtId="3" fontId="46" fillId="39" borderId="29" xfId="82" applyNumberFormat="1" applyFont="1" applyFill="1" applyBorder="1" applyProtection="1">
      <protection locked="0"/>
    </xf>
    <xf numFmtId="3" fontId="46" fillId="39" borderId="38" xfId="82" applyNumberFormat="1" applyFont="1" applyFill="1" applyBorder="1" applyProtection="1">
      <protection locked="0"/>
    </xf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44" fillId="24" borderId="11" xfId="0" quotePrefix="1" applyFont="1" applyFill="1" applyBorder="1" applyAlignment="1">
      <alignment horizontal="center"/>
    </xf>
    <xf numFmtId="9" fontId="0" fillId="0" borderId="36" xfId="0" applyNumberFormat="1" applyBorder="1"/>
    <xf numFmtId="9" fontId="27" fillId="0" borderId="36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57" fillId="0" borderId="12" xfId="72" applyFont="1" applyFill="1" applyBorder="1" applyAlignment="1" applyProtection="1">
      <alignment vertical="center"/>
    </xf>
    <xf numFmtId="0" fontId="46" fillId="0" borderId="12" xfId="0" applyFont="1" applyBorder="1"/>
    <xf numFmtId="174" fontId="0" fillId="39" borderId="40" xfId="0" applyNumberFormat="1" applyFill="1" applyBorder="1" applyAlignment="1" applyProtection="1">
      <alignment horizontal="right"/>
      <protection locked="0"/>
    </xf>
    <xf numFmtId="174" fontId="0" fillId="39" borderId="31" xfId="0" applyNumberFormat="1" applyFill="1" applyBorder="1" applyAlignment="1" applyProtection="1">
      <alignment horizontal="right"/>
      <protection locked="0"/>
    </xf>
    <xf numFmtId="0" fontId="0" fillId="39" borderId="47" xfId="0" applyFill="1" applyBorder="1" applyProtection="1">
      <protection locked="0"/>
    </xf>
    <xf numFmtId="0" fontId="0" fillId="39" borderId="12" xfId="0" applyFill="1" applyBorder="1" applyProtection="1">
      <protection locked="0"/>
    </xf>
    <xf numFmtId="0" fontId="48" fillId="0" borderId="14" xfId="82" applyFont="1" applyBorder="1" applyAlignment="1">
      <alignment horizontal="center" wrapText="1"/>
    </xf>
    <xf numFmtId="0" fontId="0" fillId="0" borderId="14" xfId="0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right"/>
      <protection locked="0"/>
    </xf>
    <xf numFmtId="0" fontId="48" fillId="44" borderId="36" xfId="0" applyFont="1" applyFill="1" applyBorder="1" applyAlignment="1">
      <alignment horizontal="center" wrapText="1"/>
    </xf>
    <xf numFmtId="0" fontId="68" fillId="25" borderId="0" xfId="82" applyFont="1" applyFill="1"/>
    <xf numFmtId="0" fontId="68" fillId="0" borderId="0" xfId="82" applyFont="1"/>
    <xf numFmtId="166" fontId="46" fillId="39" borderId="36" xfId="56" applyNumberFormat="1" applyFont="1" applyFill="1" applyBorder="1" applyAlignment="1" applyProtection="1">
      <alignment horizontal="right"/>
      <protection locked="0"/>
    </xf>
    <xf numFmtId="0" fontId="48" fillId="44" borderId="24" xfId="0" applyFont="1" applyFill="1" applyBorder="1" applyAlignment="1">
      <alignment horizontal="center"/>
    </xf>
    <xf numFmtId="0" fontId="48" fillId="44" borderId="11" xfId="0" applyFont="1" applyFill="1" applyBorder="1" applyAlignment="1">
      <alignment horizontal="center"/>
    </xf>
    <xf numFmtId="0" fontId="48" fillId="44" borderId="11" xfId="0" applyFont="1" applyFill="1" applyBorder="1" applyAlignment="1">
      <alignment horizontal="center" wrapText="1"/>
    </xf>
    <xf numFmtId="166" fontId="46" fillId="39" borderId="11" xfId="82" applyNumberFormat="1" applyFont="1" applyFill="1" applyBorder="1" applyProtection="1">
      <protection locked="0"/>
    </xf>
    <xf numFmtId="10" fontId="27" fillId="0" borderId="17" xfId="92" applyNumberFormat="1" applyFont="1" applyFill="1" applyBorder="1"/>
    <xf numFmtId="0" fontId="46" fillId="24" borderId="15" xfId="82" applyFont="1" applyFill="1" applyBorder="1" applyAlignment="1">
      <alignment horizontal="center"/>
    </xf>
    <xf numFmtId="0" fontId="46" fillId="24" borderId="19" xfId="82" applyFont="1" applyFill="1" applyBorder="1" applyAlignment="1">
      <alignment horizontal="center"/>
    </xf>
    <xf numFmtId="165" fontId="27" fillId="0" borderId="17" xfId="0" applyNumberFormat="1" applyFont="1" applyBorder="1"/>
    <xf numFmtId="0" fontId="48" fillId="24" borderId="17" xfId="0" applyFont="1" applyFill="1" applyBorder="1" applyAlignment="1">
      <alignment horizontal="left" vertical="center" wrapText="1"/>
    </xf>
    <xf numFmtId="174" fontId="0" fillId="0" borderId="11" xfId="92" applyNumberFormat="1" applyFont="1" applyFill="1" applyBorder="1"/>
    <xf numFmtId="0" fontId="46" fillId="0" borderId="0" xfId="82" applyFont="1" applyAlignment="1">
      <alignment horizontal="left"/>
    </xf>
    <xf numFmtId="10" fontId="28" fillId="0" borderId="0" xfId="72" applyNumberFormat="1" applyFill="1" applyBorder="1" applyAlignment="1" applyProtection="1"/>
    <xf numFmtId="10" fontId="0" fillId="0" borderId="0" xfId="0" applyNumberFormat="1"/>
    <xf numFmtId="164" fontId="0" fillId="0" borderId="0" xfId="0" applyNumberFormat="1"/>
    <xf numFmtId="0" fontId="70" fillId="24" borderId="48" xfId="0" applyFont="1" applyFill="1" applyBorder="1" applyAlignment="1">
      <alignment horizontal="center" vertical="center"/>
    </xf>
    <xf numFmtId="0" fontId="40" fillId="24" borderId="46" xfId="0" applyFont="1" applyFill="1" applyBorder="1" applyAlignment="1">
      <alignment vertical="center"/>
    </xf>
    <xf numFmtId="169" fontId="46" fillId="0" borderId="24" xfId="57" applyNumberFormat="1" applyFont="1" applyFill="1" applyBorder="1" applyProtection="1"/>
    <xf numFmtId="169" fontId="46" fillId="39" borderId="36" xfId="57" applyNumberFormat="1" applyFont="1" applyFill="1" applyBorder="1" applyAlignment="1" applyProtection="1">
      <alignment horizontal="right"/>
    </xf>
    <xf numFmtId="0" fontId="71" fillId="0" borderId="0" xfId="0" applyFont="1" applyAlignment="1">
      <alignment vertical="center"/>
    </xf>
    <xf numFmtId="169" fontId="46" fillId="39" borderId="36" xfId="57" applyNumberFormat="1" applyFont="1" applyFill="1" applyBorder="1" applyProtection="1"/>
    <xf numFmtId="10" fontId="46" fillId="39" borderId="36" xfId="92" applyNumberFormat="1" applyFont="1" applyFill="1" applyBorder="1" applyProtection="1"/>
    <xf numFmtId="169" fontId="46" fillId="0" borderId="28" xfId="57" applyNumberFormat="1" applyFont="1" applyFill="1" applyBorder="1" applyProtection="1"/>
    <xf numFmtId="10" fontId="46" fillId="39" borderId="27" xfId="92" applyNumberFormat="1" applyFont="1" applyFill="1" applyBorder="1" applyProtection="1"/>
    <xf numFmtId="169" fontId="0" fillId="0" borderId="0" xfId="0" applyNumberFormat="1"/>
    <xf numFmtId="43" fontId="0" fillId="0" borderId="0" xfId="0" applyNumberFormat="1"/>
    <xf numFmtId="0" fontId="44" fillId="24" borderId="49" xfId="0" applyFont="1" applyFill="1" applyBorder="1" applyAlignment="1">
      <alignment horizontal="center"/>
    </xf>
    <xf numFmtId="0" fontId="44" fillId="24" borderId="50" xfId="82" applyFont="1" applyFill="1" applyBorder="1" applyAlignment="1">
      <alignment horizontal="center"/>
    </xf>
    <xf numFmtId="0" fontId="44" fillId="24" borderId="50" xfId="110" applyFont="1" applyFill="1" applyBorder="1" applyAlignment="1">
      <alignment horizontal="center" wrapText="1"/>
    </xf>
    <xf numFmtId="3" fontId="44" fillId="24" borderId="50" xfId="110" applyNumberFormat="1" applyFont="1" applyFill="1" applyBorder="1" applyAlignment="1">
      <alignment horizontal="center" wrapText="1"/>
    </xf>
    <xf numFmtId="0" fontId="44" fillId="24" borderId="51" xfId="110" applyFont="1" applyFill="1" applyBorder="1" applyAlignment="1">
      <alignment horizontal="center" wrapText="1"/>
    </xf>
    <xf numFmtId="0" fontId="44" fillId="24" borderId="49" xfId="0" applyFont="1" applyFill="1" applyBorder="1" applyAlignment="1">
      <alignment horizontal="center" wrapText="1"/>
    </xf>
    <xf numFmtId="0" fontId="44" fillId="43" borderId="50" xfId="0" applyFont="1" applyFill="1" applyBorder="1" applyAlignment="1">
      <alignment horizontal="center" wrapText="1"/>
    </xf>
    <xf numFmtId="0" fontId="44" fillId="24" borderId="50" xfId="0" applyFont="1" applyFill="1" applyBorder="1" applyAlignment="1">
      <alignment horizontal="center" wrapText="1"/>
    </xf>
    <xf numFmtId="0" fontId="44" fillId="24" borderId="51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169" fontId="46" fillId="0" borderId="19" xfId="57" applyNumberFormat="1" applyFont="1" applyFill="1" applyBorder="1" applyProtection="1"/>
    <xf numFmtId="169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69" fontId="46" fillId="0" borderId="25" xfId="82" applyNumberFormat="1" applyFont="1" applyBorder="1"/>
    <xf numFmtId="3" fontId="0" fillId="0" borderId="19" xfId="0" applyNumberForma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3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3" fontId="0" fillId="0" borderId="29" xfId="0" applyNumberFormat="1" applyBorder="1"/>
    <xf numFmtId="165" fontId="74" fillId="0" borderId="0" xfId="0" applyNumberFormat="1" applyFont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36" fillId="0" borderId="20" xfId="72" applyFont="1" applyFill="1" applyBorder="1" applyAlignment="1" applyProtection="1">
      <alignment horizontal="left" wrapText="1"/>
    </xf>
    <xf numFmtId="0" fontId="28" fillId="0" borderId="20" xfId="72" applyBorder="1" applyAlignment="1" applyProtection="1">
      <alignment wrapText="1"/>
    </xf>
    <xf numFmtId="0" fontId="28" fillId="0" borderId="17" xfId="72" applyBorder="1" applyAlignment="1" applyProtection="1">
      <alignment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bnf.nice.org.uk/drugs/mirabegron/medicinal-form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medicines.org.uk/emc" TargetMode="External"/><Relationship Id="rId1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5"/>
  <sheetViews>
    <sheetView showGridLines="0" tabSelected="1" zoomScale="70" zoomScaleNormal="70" zoomScaleSheetLayoutView="80" workbookViewId="0">
      <selection activeCell="U26" sqref="U26"/>
    </sheetView>
  </sheetViews>
  <sheetFormatPr defaultRowHeight="14.5"/>
  <cols>
    <col min="1" max="1" width="1.453125" customWidth="1"/>
    <col min="2" max="2" width="1.7265625" customWidth="1"/>
    <col min="14" max="14" width="8.54296875" customWidth="1"/>
    <col min="15" max="15" width="13.453125" customWidth="1"/>
    <col min="16" max="16" width="1.453125" customWidth="1"/>
    <col min="21" max="21" width="31" customWidth="1"/>
  </cols>
  <sheetData>
    <row r="2" spans="2:15">
      <c r="B2" s="171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156"/>
    </row>
    <row r="3" spans="2:15">
      <c r="B3" s="159"/>
      <c r="O3" s="158"/>
    </row>
    <row r="4" spans="2:15">
      <c r="B4" s="159"/>
      <c r="O4" s="158"/>
    </row>
    <row r="5" spans="2:15">
      <c r="B5" s="159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58"/>
    </row>
    <row r="6" spans="2:15" ht="31">
      <c r="B6" s="159"/>
      <c r="C6" s="173" t="s">
        <v>0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58"/>
    </row>
    <row r="7" spans="2:15">
      <c r="B7" s="159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58"/>
    </row>
    <row r="8" spans="2:15">
      <c r="B8" s="159"/>
      <c r="O8" s="158"/>
    </row>
    <row r="9" spans="2:15" ht="31">
      <c r="B9" s="159"/>
      <c r="C9" s="585" t="s">
        <v>1</v>
      </c>
      <c r="O9" s="158"/>
    </row>
    <row r="10" spans="2:15" ht="31">
      <c r="B10" s="159"/>
      <c r="C10" s="291" t="s">
        <v>959</v>
      </c>
      <c r="O10" s="158"/>
    </row>
    <row r="11" spans="2:15" ht="31">
      <c r="B11" s="159"/>
      <c r="C11" s="291"/>
      <c r="O11" s="158"/>
    </row>
    <row r="12" spans="2:15" ht="31">
      <c r="B12" s="159"/>
      <c r="C12" s="174" t="s">
        <v>3</v>
      </c>
      <c r="D12" s="175"/>
      <c r="O12" s="158"/>
    </row>
    <row r="13" spans="2:15" ht="31">
      <c r="B13" s="159"/>
      <c r="D13" s="175"/>
      <c r="O13" s="158"/>
    </row>
    <row r="14" spans="2:15" ht="31">
      <c r="B14" s="159"/>
      <c r="C14" s="291" t="s">
        <v>929</v>
      </c>
      <c r="D14" s="175"/>
      <c r="O14" s="158"/>
    </row>
    <row r="15" spans="2:15">
      <c r="B15" s="159"/>
      <c r="O15" s="158"/>
    </row>
    <row r="16" spans="2:15">
      <c r="B16" s="159"/>
      <c r="O16" s="158"/>
    </row>
    <row r="17" spans="2:15">
      <c r="B17" s="159"/>
      <c r="C17" s="149" t="s">
        <v>4</v>
      </c>
      <c r="D17" s="195"/>
      <c r="E17" s="167"/>
      <c r="F17" s="227" t="s">
        <v>5</v>
      </c>
      <c r="G17" s="195"/>
      <c r="H17" s="195"/>
      <c r="I17" s="195"/>
      <c r="J17" s="195"/>
      <c r="K17" s="195"/>
      <c r="L17" s="195"/>
      <c r="M17" s="167"/>
      <c r="O17" s="158"/>
    </row>
    <row r="18" spans="2:15">
      <c r="B18" s="159"/>
      <c r="C18" s="149" t="s">
        <v>6</v>
      </c>
      <c r="D18" s="195"/>
      <c r="E18" s="167"/>
      <c r="F18" s="227" t="s">
        <v>7</v>
      </c>
      <c r="G18" s="195"/>
      <c r="H18" s="195"/>
      <c r="I18" s="195"/>
      <c r="J18" s="195"/>
      <c r="K18" s="195"/>
      <c r="L18" s="195"/>
      <c r="M18" s="167"/>
      <c r="O18" s="158"/>
    </row>
    <row r="19" spans="2:15">
      <c r="B19" s="159"/>
      <c r="C19" s="149" t="s">
        <v>8</v>
      </c>
      <c r="D19" s="195"/>
      <c r="E19" s="167"/>
      <c r="F19" s="227" t="s">
        <v>9</v>
      </c>
      <c r="G19" s="195"/>
      <c r="H19" s="195"/>
      <c r="I19" s="195"/>
      <c r="J19" s="195"/>
      <c r="K19" s="195"/>
      <c r="L19" s="195"/>
      <c r="M19" s="167"/>
      <c r="O19" s="158"/>
    </row>
    <row r="20" spans="2:15">
      <c r="B20" s="159"/>
      <c r="C20" s="149" t="s">
        <v>10</v>
      </c>
      <c r="D20" s="195"/>
      <c r="E20" s="167"/>
      <c r="F20" s="227" t="s">
        <v>11</v>
      </c>
      <c r="G20" s="195"/>
      <c r="H20" s="195"/>
      <c r="I20" s="195"/>
      <c r="J20" s="195"/>
      <c r="K20" s="195"/>
      <c r="L20" s="195"/>
      <c r="M20" s="167"/>
      <c r="O20" s="158"/>
    </row>
    <row r="21" spans="2:15">
      <c r="B21" s="159"/>
      <c r="C21" s="227" t="s">
        <v>12</v>
      </c>
      <c r="D21" s="195"/>
      <c r="E21" s="167"/>
      <c r="F21" s="227" t="s">
        <v>13</v>
      </c>
      <c r="G21" s="195"/>
      <c r="H21" s="195"/>
      <c r="I21" s="195"/>
      <c r="J21" s="195"/>
      <c r="K21" s="195"/>
      <c r="L21" s="195"/>
      <c r="M21" s="167"/>
      <c r="O21" s="158"/>
    </row>
    <row r="22" spans="2:15">
      <c r="B22" s="159"/>
      <c r="C22" s="149" t="s">
        <v>14</v>
      </c>
      <c r="D22" s="195"/>
      <c r="E22" s="167"/>
      <c r="F22" s="227" t="s">
        <v>15</v>
      </c>
      <c r="G22" s="195"/>
      <c r="H22" s="195"/>
      <c r="I22" s="195"/>
      <c r="J22" s="195"/>
      <c r="K22" s="195"/>
      <c r="L22" s="195"/>
      <c r="M22" s="167"/>
      <c r="O22" s="158"/>
    </row>
    <row r="23" spans="2:15">
      <c r="B23" s="159"/>
      <c r="C23" s="149" t="s">
        <v>16</v>
      </c>
      <c r="D23" s="195"/>
      <c r="E23" s="167"/>
      <c r="F23" s="227" t="s">
        <v>17</v>
      </c>
      <c r="G23" s="195"/>
      <c r="H23" s="195"/>
      <c r="I23" s="195"/>
      <c r="J23" s="195"/>
      <c r="K23" s="195"/>
      <c r="L23" s="195"/>
      <c r="M23" s="167"/>
      <c r="O23" s="158"/>
    </row>
    <row r="24" spans="2:15">
      <c r="B24" s="159"/>
      <c r="C24" s="149" t="s">
        <v>18</v>
      </c>
      <c r="D24" s="195"/>
      <c r="E24" s="167"/>
      <c r="F24" s="227" t="s">
        <v>19</v>
      </c>
      <c r="G24" s="195"/>
      <c r="H24" s="195"/>
      <c r="I24" s="195"/>
      <c r="J24" s="195"/>
      <c r="K24" s="195"/>
      <c r="L24" s="195"/>
      <c r="M24" s="167"/>
      <c r="O24" s="158"/>
    </row>
    <row r="25" spans="2:15">
      <c r="B25" s="160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2"/>
    </row>
  </sheetData>
  <sheetProtection algorithmName="SHA-512" hashValue="njQVYYe1xuz4eGLpYjmO1pokmjhJ6XgKg7752ZyZN3iwUdRqPWRDglYC+Ob39y/7yS0TQi85stZPzIjL8YCpiA==" saltValue="dkvu2OUg6AwH+DurXuIdu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16"/>
  <sheetViews>
    <sheetView zoomScale="80" zoomScaleNormal="80" workbookViewId="0">
      <selection activeCell="V7" sqref="V7"/>
    </sheetView>
  </sheetViews>
  <sheetFormatPr defaultColWidth="8.54296875" defaultRowHeight="14.5"/>
  <cols>
    <col min="1" max="1" width="16.453125" customWidth="1"/>
    <col min="2" max="2" width="33.54296875" customWidth="1"/>
    <col min="3" max="4" width="11.7265625" customWidth="1"/>
    <col min="5" max="5" width="10.453125" style="370" customWidth="1"/>
    <col min="6" max="6" width="11.7265625" customWidth="1"/>
    <col min="7" max="7" width="12.54296875" customWidth="1"/>
    <col min="8" max="8" width="11.7265625" customWidth="1"/>
    <col min="9" max="9" width="12.7265625" customWidth="1"/>
    <col min="10" max="10" width="9.453125" customWidth="1"/>
    <col min="11" max="11" width="10.453125" customWidth="1"/>
    <col min="12" max="12" width="10.54296875" customWidth="1"/>
    <col min="13" max="13" width="11.453125" customWidth="1"/>
    <col min="14" max="14" width="3.7265625" customWidth="1"/>
    <col min="15" max="15" width="11.7265625" hidden="1" customWidth="1"/>
    <col min="16" max="16" width="24.453125" hidden="1" customWidth="1"/>
    <col min="17" max="17" width="31.54296875" hidden="1" customWidth="1"/>
    <col min="18" max="18" width="15.26953125" style="371" hidden="1" customWidth="1"/>
    <col min="19" max="20" width="9" hidden="1" customWidth="1"/>
    <col min="21" max="21" width="3.453125" customWidth="1"/>
    <col min="22" max="22" width="50.54296875" bestFit="1" customWidth="1"/>
    <col min="23" max="23" width="17.7265625" customWidth="1"/>
    <col min="24" max="24" width="12.54296875" customWidth="1"/>
    <col min="25" max="25" width="23.26953125" customWidth="1"/>
    <col min="26" max="27" width="5.453125" customWidth="1"/>
    <col min="28" max="28" width="13.453125" customWidth="1"/>
    <col min="29" max="29" width="14.453125" customWidth="1"/>
    <col min="30" max="30" width="10.453125" customWidth="1"/>
  </cols>
  <sheetData>
    <row r="1" spans="1:24" ht="29.15" customHeight="1">
      <c r="A1" s="595" t="s">
        <v>868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R1"/>
    </row>
    <row r="2" spans="1:24" ht="20.5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R2"/>
    </row>
    <row r="3" spans="1:24" ht="20">
      <c r="A3" s="129"/>
      <c r="B3" s="623" t="s">
        <v>51</v>
      </c>
      <c r="C3" s="624"/>
      <c r="D3" s="129"/>
      <c r="E3" s="129"/>
      <c r="F3" s="129"/>
      <c r="G3" s="129"/>
      <c r="H3" s="129"/>
      <c r="I3" s="129"/>
      <c r="J3" s="129"/>
      <c r="K3" s="129"/>
      <c r="L3" s="129"/>
      <c r="M3" s="129"/>
      <c r="R3"/>
    </row>
    <row r="4" spans="1:24" ht="14.65" customHeight="1">
      <c r="A4" s="129"/>
      <c r="B4" s="625" t="s">
        <v>930</v>
      </c>
      <c r="C4" s="626" t="s">
        <v>931</v>
      </c>
      <c r="D4" s="627" t="s">
        <v>932</v>
      </c>
      <c r="E4" s="129"/>
      <c r="F4" s="129"/>
      <c r="G4" s="129"/>
      <c r="H4" s="129"/>
      <c r="I4" s="129"/>
      <c r="J4" s="129"/>
      <c r="K4" s="129"/>
      <c r="L4" s="129"/>
      <c r="M4" s="129"/>
      <c r="R4"/>
    </row>
    <row r="5" spans="1:24" ht="14.65" customHeight="1">
      <c r="A5" s="129"/>
      <c r="B5" s="625" t="s">
        <v>933</v>
      </c>
      <c r="C5" s="628">
        <v>9100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R5"/>
    </row>
    <row r="6" spans="1:24" ht="14.65" customHeight="1">
      <c r="A6" s="129"/>
      <c r="B6" s="625" t="s">
        <v>934</v>
      </c>
      <c r="C6" s="629">
        <v>0.13800000000000001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R6"/>
    </row>
    <row r="7" spans="1:24" ht="14.65" customHeight="1">
      <c r="A7" s="129"/>
      <c r="B7" s="625" t="s">
        <v>935</v>
      </c>
      <c r="C7" s="629">
        <v>0.23780000000000001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R7"/>
    </row>
    <row r="8" spans="1:24" ht="14.65" customHeight="1">
      <c r="A8" s="129"/>
      <c r="B8" s="625" t="s">
        <v>936</v>
      </c>
      <c r="C8" s="629">
        <v>5.0000000000000001E-3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R8"/>
    </row>
    <row r="9" spans="1:24" ht="14.65" customHeight="1" thickBot="1">
      <c r="A9" s="129"/>
      <c r="B9" s="630" t="s">
        <v>937</v>
      </c>
      <c r="C9" s="631">
        <v>0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R9" s="632"/>
    </row>
    <row r="10" spans="1:24" ht="15" thickBot="1">
      <c r="E10"/>
      <c r="G10" s="370"/>
      <c r="P10" s="633"/>
      <c r="R10" s="633"/>
    </row>
    <row r="11" spans="1:24" ht="102" thickBot="1">
      <c r="A11" s="634" t="s">
        <v>869</v>
      </c>
      <c r="B11" s="635" t="s">
        <v>938</v>
      </c>
      <c r="C11" s="636" t="s">
        <v>939</v>
      </c>
      <c r="D11" s="636" t="s">
        <v>940</v>
      </c>
      <c r="E11" s="636" t="s">
        <v>941</v>
      </c>
      <c r="F11" s="636" t="s">
        <v>942</v>
      </c>
      <c r="G11" s="637" t="s">
        <v>943</v>
      </c>
      <c r="H11" s="636" t="s">
        <v>944</v>
      </c>
      <c r="I11" s="638" t="s">
        <v>945</v>
      </c>
      <c r="J11" s="639" t="s">
        <v>946</v>
      </c>
      <c r="K11" s="640" t="s">
        <v>861</v>
      </c>
      <c r="L11" s="641" t="s">
        <v>870</v>
      </c>
      <c r="M11" s="642" t="s">
        <v>871</v>
      </c>
      <c r="O11" t="s">
        <v>931</v>
      </c>
      <c r="P11" t="s">
        <v>947</v>
      </c>
      <c r="Q11" t="s">
        <v>948</v>
      </c>
      <c r="R11" t="s">
        <v>949</v>
      </c>
    </row>
    <row r="12" spans="1:24">
      <c r="A12" s="643">
        <v>2</v>
      </c>
      <c r="B12" s="644" t="s">
        <v>872</v>
      </c>
      <c r="C12" s="645">
        <f>HLOOKUP($C$4,$O$11:$R$41,2,FALSE)</f>
        <v>23615</v>
      </c>
      <c r="D12" s="645">
        <f>C12*$C$9</f>
        <v>0</v>
      </c>
      <c r="E12" s="645">
        <f>C12*(100%+$C$9)</f>
        <v>23615</v>
      </c>
      <c r="F12" s="645">
        <f>(E12-$C$5)*$C$6</f>
        <v>2003.0700000000002</v>
      </c>
      <c r="G12" s="646">
        <f>E12*$C$8</f>
        <v>118.075</v>
      </c>
      <c r="H12" s="645">
        <f>E12*$C$7</f>
        <v>5615.6469999999999</v>
      </c>
      <c r="I12" s="647">
        <f>SUM(E12:H12)</f>
        <v>31351.792000000001</v>
      </c>
      <c r="J12" s="648">
        <v>1560</v>
      </c>
      <c r="K12" s="649">
        <f>ROUND(I12/J12,2)</f>
        <v>20.100000000000001</v>
      </c>
      <c r="L12" s="650">
        <v>0.41</v>
      </c>
      <c r="M12" s="651">
        <v>0.83</v>
      </c>
      <c r="O12" s="632">
        <v>23615</v>
      </c>
      <c r="P12" s="274">
        <v>29029</v>
      </c>
      <c r="Q12">
        <v>28166</v>
      </c>
      <c r="R12">
        <v>24873</v>
      </c>
      <c r="V12" s="171"/>
      <c r="W12" s="283"/>
      <c r="X12" s="156"/>
    </row>
    <row r="13" spans="1:24">
      <c r="A13" s="384">
        <v>2</v>
      </c>
      <c r="B13" s="375" t="s">
        <v>873</v>
      </c>
      <c r="C13" s="372">
        <f>HLOOKUP($C$4,$O$11:$R$41,3,FALSE)</f>
        <v>23615</v>
      </c>
      <c r="D13" s="372">
        <f t="shared" ref="D13:D47" si="0">C13*$C$9</f>
        <v>0</v>
      </c>
      <c r="E13" s="372">
        <f t="shared" ref="E13:E47" si="1">C13*(100%+$C$9)</f>
        <v>23615</v>
      </c>
      <c r="F13" s="372">
        <f t="shared" ref="F13:F47" si="2">(E13-$C$5)*$C$6</f>
        <v>2003.0700000000002</v>
      </c>
      <c r="G13" s="376">
        <f t="shared" ref="G13:G47" si="3">E13*$C$8</f>
        <v>118.075</v>
      </c>
      <c r="H13" s="372">
        <f t="shared" ref="H13:H47" si="4">E13*$C$7</f>
        <v>5615.6469999999999</v>
      </c>
      <c r="I13" s="647">
        <f t="shared" ref="I13:I47" si="5">SUM(E13:H13)</f>
        <v>31351.792000000001</v>
      </c>
      <c r="J13" s="128">
        <v>1560</v>
      </c>
      <c r="K13" s="649">
        <f t="shared" ref="K13:K47" si="6">ROUND(I13/J13,2)</f>
        <v>20.100000000000001</v>
      </c>
      <c r="L13" s="373">
        <v>0.41</v>
      </c>
      <c r="M13" s="590">
        <v>0.83</v>
      </c>
      <c r="O13" s="632">
        <v>23615</v>
      </c>
      <c r="P13" s="274">
        <v>29029</v>
      </c>
      <c r="Q13">
        <v>28166</v>
      </c>
      <c r="R13">
        <v>24873</v>
      </c>
      <c r="V13" s="427" t="s">
        <v>908</v>
      </c>
      <c r="X13" s="158"/>
    </row>
    <row r="14" spans="1:24">
      <c r="A14" s="384">
        <v>3</v>
      </c>
      <c r="B14" s="375" t="s">
        <v>874</v>
      </c>
      <c r="C14" s="372">
        <f>HLOOKUP($C$4,$O$11:$R$41,4,FALSE)</f>
        <v>24071</v>
      </c>
      <c r="D14" s="372">
        <f t="shared" si="0"/>
        <v>0</v>
      </c>
      <c r="E14" s="372">
        <f t="shared" si="1"/>
        <v>24071</v>
      </c>
      <c r="F14" s="372">
        <f t="shared" si="2"/>
        <v>2065.998</v>
      </c>
      <c r="G14" s="376">
        <f t="shared" si="3"/>
        <v>120.355</v>
      </c>
      <c r="H14" s="372">
        <f t="shared" si="4"/>
        <v>5724.0838000000003</v>
      </c>
      <c r="I14" s="647">
        <f t="shared" si="5"/>
        <v>31981.436799999999</v>
      </c>
      <c r="J14" s="128">
        <v>1560</v>
      </c>
      <c r="K14" s="649">
        <f t="shared" si="6"/>
        <v>20.5</v>
      </c>
      <c r="L14" s="373">
        <v>0.35</v>
      </c>
      <c r="M14" s="590">
        <v>0.69</v>
      </c>
      <c r="O14" s="632">
        <v>24071</v>
      </c>
      <c r="P14" s="274">
        <v>29485</v>
      </c>
      <c r="Q14">
        <v>28622</v>
      </c>
      <c r="R14">
        <v>25329</v>
      </c>
      <c r="S14" t="s">
        <v>931</v>
      </c>
      <c r="V14" s="428" t="s">
        <v>909</v>
      </c>
      <c r="W14">
        <v>260</v>
      </c>
      <c r="X14" s="158"/>
    </row>
    <row r="15" spans="1:24">
      <c r="A15" s="384">
        <v>3</v>
      </c>
      <c r="B15" s="375" t="s">
        <v>875</v>
      </c>
      <c r="C15" s="372">
        <f>HLOOKUP($C$4,$O$11:$R$41,5,FALSE)</f>
        <v>25674</v>
      </c>
      <c r="D15" s="372">
        <f t="shared" si="0"/>
        <v>0</v>
      </c>
      <c r="E15" s="372">
        <f t="shared" si="1"/>
        <v>25674</v>
      </c>
      <c r="F15" s="372">
        <f t="shared" si="2"/>
        <v>2287.212</v>
      </c>
      <c r="G15" s="376">
        <f t="shared" si="3"/>
        <v>128.37</v>
      </c>
      <c r="H15" s="372">
        <f t="shared" si="4"/>
        <v>6105.2772000000004</v>
      </c>
      <c r="I15" s="647">
        <f t="shared" si="5"/>
        <v>34194.859199999999</v>
      </c>
      <c r="J15" s="128">
        <v>1560</v>
      </c>
      <c r="K15" s="649">
        <f t="shared" si="6"/>
        <v>21.92</v>
      </c>
      <c r="L15" s="373">
        <v>0.35</v>
      </c>
      <c r="M15" s="590">
        <v>0.69</v>
      </c>
      <c r="O15" s="632">
        <v>25674</v>
      </c>
      <c r="P15" s="274">
        <v>31088</v>
      </c>
      <c r="Q15">
        <v>30225</v>
      </c>
      <c r="R15">
        <v>26958</v>
      </c>
      <c r="S15" t="s">
        <v>950</v>
      </c>
      <c r="V15" s="428" t="s">
        <v>910</v>
      </c>
      <c r="W15">
        <v>-40</v>
      </c>
      <c r="X15" s="158"/>
    </row>
    <row r="16" spans="1:24">
      <c r="A16" s="384">
        <v>4</v>
      </c>
      <c r="B16" s="375" t="s">
        <v>876</v>
      </c>
      <c r="C16" s="372">
        <f>HLOOKUP($C$4,$O$11:$R$41,6,FALSE)</f>
        <v>26530</v>
      </c>
      <c r="D16" s="372">
        <f t="shared" si="0"/>
        <v>0</v>
      </c>
      <c r="E16" s="372">
        <f t="shared" si="1"/>
        <v>26530</v>
      </c>
      <c r="F16" s="372">
        <f t="shared" si="2"/>
        <v>2405.34</v>
      </c>
      <c r="G16" s="376">
        <f t="shared" si="3"/>
        <v>132.65</v>
      </c>
      <c r="H16" s="372">
        <f t="shared" si="4"/>
        <v>6308.8340000000007</v>
      </c>
      <c r="I16" s="647">
        <f t="shared" si="5"/>
        <v>35376.824000000001</v>
      </c>
      <c r="J16" s="128">
        <v>1560</v>
      </c>
      <c r="K16" s="649">
        <f t="shared" si="6"/>
        <v>22.68</v>
      </c>
      <c r="L16" s="373">
        <v>0.3</v>
      </c>
      <c r="M16" s="590">
        <v>0.6</v>
      </c>
      <c r="O16" s="632">
        <v>26530</v>
      </c>
      <c r="P16" s="274">
        <v>31944</v>
      </c>
      <c r="Q16">
        <v>31081</v>
      </c>
      <c r="R16">
        <v>27857</v>
      </c>
      <c r="S16" t="s">
        <v>951</v>
      </c>
      <c r="V16" s="428" t="s">
        <v>912</v>
      </c>
      <c r="W16">
        <v>-2</v>
      </c>
      <c r="X16" s="158"/>
    </row>
    <row r="17" spans="1:24">
      <c r="A17" s="384">
        <v>4</v>
      </c>
      <c r="B17" s="375" t="s">
        <v>877</v>
      </c>
      <c r="C17" s="372">
        <f>HLOOKUP($C$4,$O$11:$R$41,7,FALSE)</f>
        <v>29114</v>
      </c>
      <c r="D17" s="372">
        <f t="shared" si="0"/>
        <v>0</v>
      </c>
      <c r="E17" s="372">
        <f t="shared" si="1"/>
        <v>29114</v>
      </c>
      <c r="F17" s="372">
        <f t="shared" si="2"/>
        <v>2761.9320000000002</v>
      </c>
      <c r="G17" s="376">
        <f t="shared" si="3"/>
        <v>145.57</v>
      </c>
      <c r="H17" s="372">
        <f t="shared" si="4"/>
        <v>6923.3092000000006</v>
      </c>
      <c r="I17" s="647">
        <f t="shared" si="5"/>
        <v>38944.811200000004</v>
      </c>
      <c r="J17" s="128">
        <v>1560</v>
      </c>
      <c r="K17" s="649">
        <f t="shared" si="6"/>
        <v>24.96</v>
      </c>
      <c r="L17" s="373">
        <v>0.3</v>
      </c>
      <c r="M17" s="590">
        <v>0.6</v>
      </c>
      <c r="O17" s="632">
        <v>29114</v>
      </c>
      <c r="P17" s="274">
        <v>34937</v>
      </c>
      <c r="Q17">
        <v>33665</v>
      </c>
      <c r="R17">
        <v>30570</v>
      </c>
      <c r="S17" t="s">
        <v>952</v>
      </c>
      <c r="V17" s="428" t="s">
        <v>913</v>
      </c>
      <c r="W17">
        <v>-10</v>
      </c>
      <c r="X17" s="158"/>
    </row>
    <row r="18" spans="1:24">
      <c r="A18" s="384">
        <v>5</v>
      </c>
      <c r="B18" s="375" t="s">
        <v>878</v>
      </c>
      <c r="C18" s="372">
        <f>HLOOKUP($C$4,$O$11:$R$41,8,FALSE)</f>
        <v>29970</v>
      </c>
      <c r="D18" s="372">
        <f t="shared" si="0"/>
        <v>0</v>
      </c>
      <c r="E18" s="372">
        <f t="shared" si="1"/>
        <v>29970</v>
      </c>
      <c r="F18" s="372">
        <f t="shared" si="2"/>
        <v>2880.0600000000004</v>
      </c>
      <c r="G18" s="376">
        <f t="shared" si="3"/>
        <v>149.85</v>
      </c>
      <c r="H18" s="372">
        <f t="shared" si="4"/>
        <v>7126.866</v>
      </c>
      <c r="I18" s="647">
        <f t="shared" si="5"/>
        <v>40126.775999999998</v>
      </c>
      <c r="J18" s="128">
        <v>1560</v>
      </c>
      <c r="K18" s="649">
        <f t="shared" si="6"/>
        <v>25.72</v>
      </c>
      <c r="L18" s="373">
        <v>0.3</v>
      </c>
      <c r="M18" s="590">
        <v>0.6</v>
      </c>
      <c r="O18" s="632">
        <v>29970</v>
      </c>
      <c r="P18" s="274">
        <v>35964</v>
      </c>
      <c r="Q18">
        <v>34521</v>
      </c>
      <c r="R18">
        <v>31469</v>
      </c>
      <c r="V18" s="428"/>
      <c r="W18" s="283">
        <v>208</v>
      </c>
      <c r="X18" s="158"/>
    </row>
    <row r="19" spans="1:24">
      <c r="A19" s="384">
        <v>5</v>
      </c>
      <c r="B19" s="375" t="s">
        <v>879</v>
      </c>
      <c r="C19" s="372">
        <f>HLOOKUP($C$4,$O$11:$R$41,9,FALSE)</f>
        <v>32324</v>
      </c>
      <c r="D19" s="372">
        <f t="shared" si="0"/>
        <v>0</v>
      </c>
      <c r="E19" s="372">
        <f t="shared" si="1"/>
        <v>32324</v>
      </c>
      <c r="F19" s="372">
        <f t="shared" si="2"/>
        <v>3204.9120000000003</v>
      </c>
      <c r="G19" s="376">
        <f t="shared" si="3"/>
        <v>161.62</v>
      </c>
      <c r="H19" s="372">
        <f t="shared" si="4"/>
        <v>7686.6472000000003</v>
      </c>
      <c r="I19" s="647">
        <f t="shared" si="5"/>
        <v>43377.179199999999</v>
      </c>
      <c r="J19" s="128">
        <v>1560</v>
      </c>
      <c r="K19" s="649">
        <f t="shared" si="6"/>
        <v>27.81</v>
      </c>
      <c r="L19" s="373">
        <v>0.3</v>
      </c>
      <c r="M19" s="590">
        <v>0.6</v>
      </c>
      <c r="O19" s="632">
        <v>32324</v>
      </c>
      <c r="P19" s="274">
        <v>38789</v>
      </c>
      <c r="Q19">
        <v>37173</v>
      </c>
      <c r="R19">
        <v>33941</v>
      </c>
      <c r="V19" s="428" t="s">
        <v>914</v>
      </c>
      <c r="W19" s="305">
        <f>7.5*W18</f>
        <v>1560</v>
      </c>
      <c r="X19" s="158"/>
    </row>
    <row r="20" spans="1:24">
      <c r="A20" s="384">
        <v>5</v>
      </c>
      <c r="B20" s="375" t="s">
        <v>880</v>
      </c>
      <c r="C20" s="372">
        <f>HLOOKUP($C$4,$O$11:$R$41,10,FALSE)</f>
        <v>36483</v>
      </c>
      <c r="D20" s="372">
        <f t="shared" si="0"/>
        <v>0</v>
      </c>
      <c r="E20" s="372">
        <f t="shared" si="1"/>
        <v>36483</v>
      </c>
      <c r="F20" s="372">
        <f t="shared" si="2"/>
        <v>3778.8540000000003</v>
      </c>
      <c r="G20" s="376">
        <f t="shared" si="3"/>
        <v>182.41499999999999</v>
      </c>
      <c r="H20" s="372">
        <f t="shared" si="4"/>
        <v>8675.6574000000001</v>
      </c>
      <c r="I20" s="647">
        <f t="shared" si="5"/>
        <v>49119.926399999997</v>
      </c>
      <c r="J20" s="128">
        <v>1560</v>
      </c>
      <c r="K20" s="649">
        <f t="shared" si="6"/>
        <v>31.49</v>
      </c>
      <c r="L20" s="373">
        <v>0.3</v>
      </c>
      <c r="M20" s="590">
        <v>0.6</v>
      </c>
      <c r="O20" s="632">
        <v>36483</v>
      </c>
      <c r="P20" s="274">
        <v>43780</v>
      </c>
      <c r="Q20">
        <v>41956</v>
      </c>
      <c r="R20">
        <v>38308</v>
      </c>
      <c r="V20" s="159"/>
      <c r="X20" s="158"/>
    </row>
    <row r="21" spans="1:24">
      <c r="A21" s="384">
        <v>6</v>
      </c>
      <c r="B21" s="375" t="s">
        <v>881</v>
      </c>
      <c r="C21" s="372">
        <f>HLOOKUP($C$4,$O$11:$R$41,11,FALSE)</f>
        <v>37338</v>
      </c>
      <c r="D21" s="372">
        <f t="shared" si="0"/>
        <v>0</v>
      </c>
      <c r="E21" s="372">
        <f t="shared" si="1"/>
        <v>37338</v>
      </c>
      <c r="F21" s="372">
        <f t="shared" si="2"/>
        <v>3896.8440000000005</v>
      </c>
      <c r="G21" s="376">
        <f t="shared" si="3"/>
        <v>186.69</v>
      </c>
      <c r="H21" s="372">
        <f t="shared" si="4"/>
        <v>8878.9763999999996</v>
      </c>
      <c r="I21" s="647">
        <f t="shared" si="5"/>
        <v>50300.510399999999</v>
      </c>
      <c r="J21" s="128">
        <v>1560</v>
      </c>
      <c r="K21" s="649">
        <f t="shared" si="6"/>
        <v>32.24</v>
      </c>
      <c r="L21" s="373">
        <v>0.3</v>
      </c>
      <c r="M21" s="590">
        <v>0.6</v>
      </c>
      <c r="O21" s="632">
        <v>37338</v>
      </c>
      <c r="P21" s="274">
        <v>44806</v>
      </c>
      <c r="Q21">
        <v>42939</v>
      </c>
      <c r="R21">
        <v>39205</v>
      </c>
      <c r="V21" s="428"/>
      <c r="X21" s="158"/>
    </row>
    <row r="22" spans="1:24">
      <c r="A22" s="384">
        <v>6</v>
      </c>
      <c r="B22" s="375" t="s">
        <v>882</v>
      </c>
      <c r="C22" s="372">
        <f>HLOOKUP($C$4,$O$11:$R$41,12,FALSE)</f>
        <v>39405</v>
      </c>
      <c r="D22" s="372">
        <f t="shared" si="0"/>
        <v>0</v>
      </c>
      <c r="E22" s="372">
        <f t="shared" si="1"/>
        <v>39405</v>
      </c>
      <c r="F22" s="372">
        <f t="shared" si="2"/>
        <v>4182.09</v>
      </c>
      <c r="G22" s="376">
        <f t="shared" si="3"/>
        <v>197.02500000000001</v>
      </c>
      <c r="H22" s="372">
        <f t="shared" si="4"/>
        <v>9370.509</v>
      </c>
      <c r="I22" s="647">
        <f t="shared" si="5"/>
        <v>53154.623999999996</v>
      </c>
      <c r="J22" s="128">
        <v>1560</v>
      </c>
      <c r="K22" s="649">
        <f t="shared" si="6"/>
        <v>34.07</v>
      </c>
      <c r="L22" s="373">
        <v>0.3</v>
      </c>
      <c r="M22" s="590">
        <v>0.6</v>
      </c>
      <c r="O22" s="632">
        <v>39405</v>
      </c>
      <c r="P22" s="274">
        <v>47286</v>
      </c>
      <c r="Q22">
        <v>45140</v>
      </c>
      <c r="R22">
        <v>41376</v>
      </c>
      <c r="V22" s="427" t="s">
        <v>902</v>
      </c>
      <c r="X22" s="158"/>
    </row>
    <row r="23" spans="1:24">
      <c r="A23" s="384">
        <v>6</v>
      </c>
      <c r="B23" s="375" t="s">
        <v>883</v>
      </c>
      <c r="C23" s="372">
        <f>HLOOKUP($C$4,$O$11:$R$41,13,FALSE)</f>
        <v>44962</v>
      </c>
      <c r="D23" s="372">
        <f t="shared" si="0"/>
        <v>0</v>
      </c>
      <c r="E23" s="372">
        <f t="shared" si="1"/>
        <v>44962</v>
      </c>
      <c r="F23" s="372">
        <f t="shared" si="2"/>
        <v>4948.9560000000001</v>
      </c>
      <c r="G23" s="376">
        <f t="shared" si="3"/>
        <v>224.81</v>
      </c>
      <c r="H23" s="372">
        <f t="shared" si="4"/>
        <v>10691.963600000001</v>
      </c>
      <c r="I23" s="647">
        <f t="shared" si="5"/>
        <v>60827.729599999999</v>
      </c>
      <c r="J23" s="128">
        <v>1560</v>
      </c>
      <c r="K23" s="649">
        <f t="shared" si="6"/>
        <v>38.99</v>
      </c>
      <c r="L23" s="373">
        <v>0.3</v>
      </c>
      <c r="M23" s="590">
        <v>0.6</v>
      </c>
      <c r="O23" s="632">
        <v>44962</v>
      </c>
      <c r="P23" s="274">
        <v>53134</v>
      </c>
      <c r="Q23">
        <v>50697</v>
      </c>
      <c r="R23">
        <v>47084</v>
      </c>
      <c r="V23" s="428" t="s">
        <v>916</v>
      </c>
      <c r="W23">
        <v>43</v>
      </c>
      <c r="X23" s="158"/>
    </row>
    <row r="24" spans="1:24">
      <c r="A24" s="384">
        <v>7</v>
      </c>
      <c r="B24" s="375" t="s">
        <v>884</v>
      </c>
      <c r="C24" s="372">
        <f>HLOOKUP($C$4,$O$11:$R$41,14,FALSE)</f>
        <v>46148</v>
      </c>
      <c r="D24" s="372">
        <f t="shared" si="0"/>
        <v>0</v>
      </c>
      <c r="E24" s="372">
        <f t="shared" si="1"/>
        <v>46148</v>
      </c>
      <c r="F24" s="372">
        <f t="shared" si="2"/>
        <v>5112.6240000000007</v>
      </c>
      <c r="G24" s="376">
        <f t="shared" si="3"/>
        <v>230.74</v>
      </c>
      <c r="H24" s="372">
        <f t="shared" si="4"/>
        <v>10973.994400000001</v>
      </c>
      <c r="I24" s="647">
        <f t="shared" si="5"/>
        <v>62465.358400000005</v>
      </c>
      <c r="J24" s="128">
        <v>1560</v>
      </c>
      <c r="K24" s="649">
        <f t="shared" si="6"/>
        <v>40.04</v>
      </c>
      <c r="L24" s="373">
        <v>0.3</v>
      </c>
      <c r="M24" s="590">
        <v>0.6</v>
      </c>
      <c r="O24" s="632">
        <v>46148</v>
      </c>
      <c r="P24" s="274">
        <v>54320</v>
      </c>
      <c r="Q24">
        <v>51883</v>
      </c>
      <c r="R24">
        <v>48270</v>
      </c>
      <c r="V24" s="428"/>
      <c r="X24" s="158"/>
    </row>
    <row r="25" spans="1:24">
      <c r="A25" s="384">
        <v>7</v>
      </c>
      <c r="B25" s="375" t="s">
        <v>885</v>
      </c>
      <c r="C25" s="372">
        <f>HLOOKUP($C$4,$O$11:$R$41,15,FALSE)</f>
        <v>48526</v>
      </c>
      <c r="D25" s="372">
        <f t="shared" si="0"/>
        <v>0</v>
      </c>
      <c r="E25" s="372">
        <f t="shared" si="1"/>
        <v>48526</v>
      </c>
      <c r="F25" s="372">
        <f t="shared" si="2"/>
        <v>5440.7880000000005</v>
      </c>
      <c r="G25" s="376">
        <f t="shared" si="3"/>
        <v>242.63</v>
      </c>
      <c r="H25" s="372">
        <f t="shared" si="4"/>
        <v>11539.4828</v>
      </c>
      <c r="I25" s="647">
        <f t="shared" si="5"/>
        <v>65748.900800000003</v>
      </c>
      <c r="J25" s="128">
        <v>1560</v>
      </c>
      <c r="K25" s="649">
        <f t="shared" si="6"/>
        <v>42.15</v>
      </c>
      <c r="L25" s="373">
        <v>0.3</v>
      </c>
      <c r="M25" s="590">
        <v>0.6</v>
      </c>
      <c r="O25" s="632">
        <v>48526</v>
      </c>
      <c r="P25" s="274">
        <v>56698</v>
      </c>
      <c r="Q25">
        <v>54261</v>
      </c>
      <c r="R25">
        <v>50648</v>
      </c>
      <c r="V25" s="428" t="s">
        <v>917</v>
      </c>
      <c r="W25">
        <v>10</v>
      </c>
      <c r="X25" s="158"/>
    </row>
    <row r="26" spans="1:24">
      <c r="A26" s="384">
        <v>7</v>
      </c>
      <c r="B26" s="375" t="s">
        <v>886</v>
      </c>
      <c r="C26" s="372">
        <f>HLOOKUP($C$4,$O$11:$R$41,16,FALSE)</f>
        <v>52809</v>
      </c>
      <c r="D26" s="372">
        <f t="shared" si="0"/>
        <v>0</v>
      </c>
      <c r="E26" s="372">
        <f t="shared" si="1"/>
        <v>52809</v>
      </c>
      <c r="F26" s="372">
        <f t="shared" si="2"/>
        <v>6031.8420000000006</v>
      </c>
      <c r="G26" s="376">
        <f t="shared" si="3"/>
        <v>264.04500000000002</v>
      </c>
      <c r="H26" s="372">
        <f t="shared" si="4"/>
        <v>12557.9802</v>
      </c>
      <c r="I26" s="647">
        <f t="shared" si="5"/>
        <v>71662.867200000008</v>
      </c>
      <c r="J26" s="128">
        <v>1560</v>
      </c>
      <c r="K26" s="649">
        <f t="shared" si="6"/>
        <v>45.94</v>
      </c>
      <c r="L26" s="373">
        <v>0.3</v>
      </c>
      <c r="M26" s="590">
        <v>0.6</v>
      </c>
      <c r="O26" s="632">
        <v>52809</v>
      </c>
      <c r="P26" s="274">
        <v>60981</v>
      </c>
      <c r="Q26">
        <v>58544</v>
      </c>
      <c r="R26">
        <v>54931</v>
      </c>
      <c r="V26" s="428" t="s">
        <v>918</v>
      </c>
      <c r="W26">
        <v>-2</v>
      </c>
      <c r="X26" s="158"/>
    </row>
    <row r="27" spans="1:24">
      <c r="A27" s="384" t="s">
        <v>911</v>
      </c>
      <c r="B27" s="375" t="s">
        <v>887</v>
      </c>
      <c r="C27" s="372">
        <f>HLOOKUP($C$4,$O$11:$R$41,17,FALSE)</f>
        <v>53754.676500000001</v>
      </c>
      <c r="D27" s="372">
        <f t="shared" si="0"/>
        <v>0</v>
      </c>
      <c r="E27" s="372">
        <f t="shared" si="1"/>
        <v>53754.676500000001</v>
      </c>
      <c r="F27" s="372">
        <f t="shared" si="2"/>
        <v>6162.3453570000011</v>
      </c>
      <c r="G27" s="376">
        <f t="shared" si="3"/>
        <v>268.77338250000003</v>
      </c>
      <c r="H27" s="372">
        <f t="shared" si="4"/>
        <v>12782.862071700001</v>
      </c>
      <c r="I27" s="647">
        <f t="shared" si="5"/>
        <v>72968.657311200004</v>
      </c>
      <c r="J27" s="128">
        <v>1560</v>
      </c>
      <c r="K27" s="649">
        <f t="shared" si="6"/>
        <v>46.77</v>
      </c>
      <c r="L27" s="373">
        <v>0.3</v>
      </c>
      <c r="M27" s="590">
        <v>0.6</v>
      </c>
      <c r="O27" s="632">
        <v>53754.676500000001</v>
      </c>
      <c r="P27" s="274">
        <v>61927</v>
      </c>
      <c r="Q27">
        <v>59490</v>
      </c>
      <c r="R27">
        <v>55877</v>
      </c>
      <c r="V27" s="428"/>
      <c r="W27" s="283">
        <v>8</v>
      </c>
      <c r="X27" s="158"/>
    </row>
    <row r="28" spans="1:24">
      <c r="A28" s="384" t="s">
        <v>911</v>
      </c>
      <c r="B28" s="375" t="s">
        <v>888</v>
      </c>
      <c r="C28" s="372">
        <f>HLOOKUP($C$4,$O$11:$R$41,18,FALSE)</f>
        <v>56454</v>
      </c>
      <c r="D28" s="372">
        <f t="shared" si="0"/>
        <v>0</v>
      </c>
      <c r="E28" s="372">
        <f t="shared" si="1"/>
        <v>56454</v>
      </c>
      <c r="F28" s="372">
        <f t="shared" si="2"/>
        <v>6534.8520000000008</v>
      </c>
      <c r="G28" s="376">
        <f t="shared" si="3"/>
        <v>282.27</v>
      </c>
      <c r="H28" s="372">
        <f t="shared" si="4"/>
        <v>13424.761200000001</v>
      </c>
      <c r="I28" s="647">
        <f t="shared" si="5"/>
        <v>76695.883199999997</v>
      </c>
      <c r="J28" s="128">
        <v>1560</v>
      </c>
      <c r="K28" s="649">
        <f t="shared" si="6"/>
        <v>49.16</v>
      </c>
      <c r="L28" s="373">
        <v>0.3</v>
      </c>
      <c r="M28" s="590">
        <v>0.6</v>
      </c>
      <c r="O28" s="632">
        <v>56454</v>
      </c>
      <c r="P28" s="274">
        <v>64626</v>
      </c>
      <c r="Q28">
        <v>62189</v>
      </c>
      <c r="R28">
        <v>58576</v>
      </c>
      <c r="V28" s="428" t="s">
        <v>920</v>
      </c>
      <c r="W28" s="305">
        <f>W27*4*W23</f>
        <v>1376</v>
      </c>
      <c r="X28" s="158"/>
    </row>
    <row r="29" spans="1:24">
      <c r="A29" s="384" t="s">
        <v>911</v>
      </c>
      <c r="B29" s="375" t="s">
        <v>889</v>
      </c>
      <c r="C29" s="372">
        <f>HLOOKUP($C$4,$O$11:$R$41,19,FALSE)</f>
        <v>60504</v>
      </c>
      <c r="D29" s="372">
        <f t="shared" si="0"/>
        <v>0</v>
      </c>
      <c r="E29" s="372">
        <f t="shared" si="1"/>
        <v>60504</v>
      </c>
      <c r="F29" s="372">
        <f t="shared" si="2"/>
        <v>7093.7520000000004</v>
      </c>
      <c r="G29" s="376">
        <f t="shared" si="3"/>
        <v>302.52</v>
      </c>
      <c r="H29" s="372">
        <f t="shared" si="4"/>
        <v>14387.851200000001</v>
      </c>
      <c r="I29" s="647">
        <f t="shared" si="5"/>
        <v>82288.123200000016</v>
      </c>
      <c r="J29" s="128">
        <v>1560</v>
      </c>
      <c r="K29" s="649">
        <f t="shared" si="6"/>
        <v>52.75</v>
      </c>
      <c r="L29" s="373">
        <v>0.3</v>
      </c>
      <c r="M29" s="590">
        <v>0.6</v>
      </c>
      <c r="O29" s="632">
        <v>60504</v>
      </c>
      <c r="P29" s="274">
        <v>68676</v>
      </c>
      <c r="Q29">
        <v>66239</v>
      </c>
      <c r="R29">
        <v>62626</v>
      </c>
      <c r="V29" s="159"/>
      <c r="X29" s="158"/>
    </row>
    <row r="30" spans="1:24">
      <c r="A30" s="384" t="s">
        <v>915</v>
      </c>
      <c r="B30" s="375" t="s">
        <v>890</v>
      </c>
      <c r="C30" s="372">
        <f>HLOOKUP($C$4,$O$11:$R$41,20,FALSE)</f>
        <v>62215</v>
      </c>
      <c r="D30" s="372">
        <f t="shared" si="0"/>
        <v>0</v>
      </c>
      <c r="E30" s="372">
        <f t="shared" si="1"/>
        <v>62215</v>
      </c>
      <c r="F30" s="372">
        <f t="shared" si="2"/>
        <v>7329.8700000000008</v>
      </c>
      <c r="G30" s="376">
        <f t="shared" si="3"/>
        <v>311.07499999999999</v>
      </c>
      <c r="H30" s="372">
        <f t="shared" si="4"/>
        <v>14794.727000000001</v>
      </c>
      <c r="I30" s="647">
        <f t="shared" si="5"/>
        <v>84650.671999999991</v>
      </c>
      <c r="J30" s="128">
        <v>1560</v>
      </c>
      <c r="K30" s="649">
        <f t="shared" si="6"/>
        <v>54.26</v>
      </c>
      <c r="L30" s="373">
        <v>0.3</v>
      </c>
      <c r="M30" s="590">
        <v>0.6</v>
      </c>
      <c r="O30" s="632">
        <v>62215</v>
      </c>
      <c r="P30" s="274">
        <v>70387</v>
      </c>
      <c r="Q30">
        <v>67950</v>
      </c>
      <c r="R30">
        <v>64337</v>
      </c>
      <c r="V30" s="428"/>
      <c r="X30" s="158"/>
    </row>
    <row r="31" spans="1:24">
      <c r="A31" s="384" t="s">
        <v>915</v>
      </c>
      <c r="B31" s="375" t="s">
        <v>891</v>
      </c>
      <c r="C31" s="372">
        <f>HLOOKUP($C$4,$O$11:$R$41,21,FALSE)</f>
        <v>66246</v>
      </c>
      <c r="D31" s="372">
        <f t="shared" si="0"/>
        <v>0</v>
      </c>
      <c r="E31" s="372">
        <f t="shared" si="1"/>
        <v>66246</v>
      </c>
      <c r="F31" s="372">
        <f t="shared" si="2"/>
        <v>7886.148000000001</v>
      </c>
      <c r="G31" s="376">
        <f t="shared" si="3"/>
        <v>331.23</v>
      </c>
      <c r="H31" s="372">
        <f t="shared" si="4"/>
        <v>15753.2988</v>
      </c>
      <c r="I31" s="647">
        <f t="shared" si="5"/>
        <v>90216.676800000001</v>
      </c>
      <c r="J31" s="128">
        <v>1560</v>
      </c>
      <c r="K31" s="649">
        <f t="shared" si="6"/>
        <v>57.83</v>
      </c>
      <c r="L31" s="373">
        <v>0.3</v>
      </c>
      <c r="M31" s="590">
        <v>0.6</v>
      </c>
      <c r="O31" s="632">
        <v>66246</v>
      </c>
      <c r="P31" s="274">
        <v>74418</v>
      </c>
      <c r="Q31">
        <v>71981</v>
      </c>
      <c r="R31">
        <v>68368</v>
      </c>
      <c r="V31" s="427" t="s">
        <v>905</v>
      </c>
      <c r="X31" s="158"/>
    </row>
    <row r="32" spans="1:24">
      <c r="A32" s="384" t="s">
        <v>915</v>
      </c>
      <c r="B32" s="375" t="s">
        <v>892</v>
      </c>
      <c r="C32" s="372">
        <f>HLOOKUP($C$4,$O$11:$R$41,22,FALSE)</f>
        <v>72293</v>
      </c>
      <c r="D32" s="372">
        <f t="shared" si="0"/>
        <v>0</v>
      </c>
      <c r="E32" s="372">
        <f t="shared" si="1"/>
        <v>72293</v>
      </c>
      <c r="F32" s="372">
        <f t="shared" si="2"/>
        <v>8720.634</v>
      </c>
      <c r="G32" s="376">
        <f t="shared" si="3"/>
        <v>361.46500000000003</v>
      </c>
      <c r="H32" s="372">
        <f t="shared" si="4"/>
        <v>17191.275400000002</v>
      </c>
      <c r="I32" s="647">
        <f t="shared" si="5"/>
        <v>98566.374400000001</v>
      </c>
      <c r="J32" s="128">
        <v>1560</v>
      </c>
      <c r="K32" s="649">
        <f t="shared" si="6"/>
        <v>63.18</v>
      </c>
      <c r="L32" s="373">
        <v>0.3</v>
      </c>
      <c r="M32" s="590">
        <v>0.6</v>
      </c>
      <c r="O32" s="632">
        <v>72293</v>
      </c>
      <c r="P32" s="274">
        <v>80465</v>
      </c>
      <c r="Q32">
        <v>78028</v>
      </c>
      <c r="R32">
        <v>74415</v>
      </c>
      <c r="V32" s="428" t="s">
        <v>921</v>
      </c>
      <c r="W32">
        <v>44.7</v>
      </c>
      <c r="X32" s="158"/>
    </row>
    <row r="33" spans="1:24">
      <c r="A33" s="384" t="s">
        <v>919</v>
      </c>
      <c r="B33" s="375" t="s">
        <v>893</v>
      </c>
      <c r="C33" s="372">
        <f>HLOOKUP($C$4,$O$11:$R$41,23,FALSE)</f>
        <v>74290</v>
      </c>
      <c r="D33" s="372">
        <f t="shared" si="0"/>
        <v>0</v>
      </c>
      <c r="E33" s="372">
        <f t="shared" si="1"/>
        <v>74290</v>
      </c>
      <c r="F33" s="372">
        <f t="shared" si="2"/>
        <v>8996.2200000000012</v>
      </c>
      <c r="G33" s="376">
        <f t="shared" si="3"/>
        <v>371.45</v>
      </c>
      <c r="H33" s="372">
        <f t="shared" si="4"/>
        <v>17666.162</v>
      </c>
      <c r="I33" s="647">
        <f t="shared" si="5"/>
        <v>101323.83199999999</v>
      </c>
      <c r="J33" s="128">
        <v>1560</v>
      </c>
      <c r="K33" s="649">
        <f t="shared" si="6"/>
        <v>64.95</v>
      </c>
      <c r="L33" s="373">
        <v>0.3</v>
      </c>
      <c r="M33" s="590">
        <v>0.6</v>
      </c>
      <c r="O33" s="632">
        <v>74290</v>
      </c>
      <c r="P33" s="274">
        <v>82462</v>
      </c>
      <c r="Q33">
        <v>80025</v>
      </c>
      <c r="R33">
        <v>76412</v>
      </c>
      <c r="V33" s="428" t="s">
        <v>922</v>
      </c>
      <c r="W33">
        <v>48</v>
      </c>
      <c r="X33" s="158"/>
    </row>
    <row r="34" spans="1:24">
      <c r="A34" s="384" t="s">
        <v>919</v>
      </c>
      <c r="B34" s="375" t="s">
        <v>894</v>
      </c>
      <c r="C34" s="372">
        <f>HLOOKUP($C$4,$O$11:$R$41,24,FALSE)</f>
        <v>78814</v>
      </c>
      <c r="D34" s="372">
        <f t="shared" si="0"/>
        <v>0</v>
      </c>
      <c r="E34" s="372">
        <f t="shared" si="1"/>
        <v>78814</v>
      </c>
      <c r="F34" s="372">
        <f t="shared" si="2"/>
        <v>9620.5320000000011</v>
      </c>
      <c r="G34" s="376">
        <f t="shared" si="3"/>
        <v>394.07</v>
      </c>
      <c r="H34" s="372">
        <f t="shared" si="4"/>
        <v>18741.9692</v>
      </c>
      <c r="I34" s="647">
        <f t="shared" si="5"/>
        <v>107570.57120000001</v>
      </c>
      <c r="J34" s="128">
        <v>1560</v>
      </c>
      <c r="K34" s="649">
        <f t="shared" si="6"/>
        <v>68.959999999999994</v>
      </c>
      <c r="L34" s="373">
        <v>0.3</v>
      </c>
      <c r="M34" s="590">
        <v>0.6</v>
      </c>
      <c r="O34" s="632">
        <v>78814</v>
      </c>
      <c r="P34" s="274">
        <v>86986</v>
      </c>
      <c r="Q34">
        <v>84549</v>
      </c>
      <c r="R34">
        <v>80936</v>
      </c>
      <c r="V34" s="428" t="s">
        <v>924</v>
      </c>
      <c r="W34">
        <v>2145.6</v>
      </c>
      <c r="X34" s="158"/>
    </row>
    <row r="35" spans="1:24">
      <c r="A35" s="384" t="s">
        <v>919</v>
      </c>
      <c r="B35" s="375" t="s">
        <v>895</v>
      </c>
      <c r="C35" s="372">
        <f>HLOOKUP($C$4,$O$11:$R$41,25,FALSE)</f>
        <v>85601</v>
      </c>
      <c r="D35" s="372">
        <f t="shared" si="0"/>
        <v>0</v>
      </c>
      <c r="E35" s="372">
        <f t="shared" si="1"/>
        <v>85601</v>
      </c>
      <c r="F35" s="372">
        <f t="shared" si="2"/>
        <v>10557.138000000001</v>
      </c>
      <c r="G35" s="376">
        <f t="shared" si="3"/>
        <v>428.005</v>
      </c>
      <c r="H35" s="372">
        <f t="shared" si="4"/>
        <v>20355.917799999999</v>
      </c>
      <c r="I35" s="647">
        <f t="shared" si="5"/>
        <v>116942.06080000001</v>
      </c>
      <c r="J35" s="128">
        <v>1560</v>
      </c>
      <c r="K35" s="649">
        <f t="shared" si="6"/>
        <v>74.959999999999994</v>
      </c>
      <c r="L35" s="373">
        <v>0.3</v>
      </c>
      <c r="M35" s="590">
        <v>0.6</v>
      </c>
      <c r="O35" s="632">
        <v>85601</v>
      </c>
      <c r="P35" s="274">
        <v>93773</v>
      </c>
      <c r="Q35">
        <v>91336</v>
      </c>
      <c r="R35">
        <v>87723</v>
      </c>
      <c r="V35" s="428" t="s">
        <v>925</v>
      </c>
      <c r="W35" s="429">
        <v>0.6</v>
      </c>
      <c r="X35" s="158"/>
    </row>
    <row r="36" spans="1:24">
      <c r="A36" s="384" t="s">
        <v>923</v>
      </c>
      <c r="B36" s="375" t="s">
        <v>896</v>
      </c>
      <c r="C36" s="372">
        <f>HLOOKUP($C$4,$O$11:$R$41,26,FALSE)</f>
        <v>88168</v>
      </c>
      <c r="D36" s="372">
        <f t="shared" si="0"/>
        <v>0</v>
      </c>
      <c r="E36" s="372">
        <f t="shared" si="1"/>
        <v>88168</v>
      </c>
      <c r="F36" s="372">
        <f t="shared" si="2"/>
        <v>10911.384</v>
      </c>
      <c r="G36" s="376">
        <f t="shared" si="3"/>
        <v>440.84000000000003</v>
      </c>
      <c r="H36" s="372">
        <f t="shared" si="4"/>
        <v>20966.350399999999</v>
      </c>
      <c r="I36" s="647">
        <f t="shared" si="5"/>
        <v>120486.5744</v>
      </c>
      <c r="J36" s="128">
        <v>1560</v>
      </c>
      <c r="K36" s="649">
        <f t="shared" si="6"/>
        <v>77.23</v>
      </c>
      <c r="L36" s="373">
        <v>0.3</v>
      </c>
      <c r="M36" s="590">
        <v>0.6</v>
      </c>
      <c r="O36" s="632">
        <v>88168</v>
      </c>
      <c r="P36" s="274">
        <v>96340</v>
      </c>
      <c r="Q36">
        <v>93903</v>
      </c>
      <c r="R36">
        <v>90290</v>
      </c>
      <c r="V36" s="428" t="s">
        <v>926</v>
      </c>
      <c r="W36" s="426">
        <f>ROUND(W35*W34,0)</f>
        <v>1287</v>
      </c>
      <c r="X36" s="158"/>
    </row>
    <row r="37" spans="1:24">
      <c r="A37" s="384" t="s">
        <v>923</v>
      </c>
      <c r="B37" s="375" t="s">
        <v>897</v>
      </c>
      <c r="C37" s="372">
        <f>HLOOKUP($C$4,$O$11:$R$41,27,FALSE)</f>
        <v>93572</v>
      </c>
      <c r="D37" s="372">
        <f t="shared" si="0"/>
        <v>0</v>
      </c>
      <c r="E37" s="372">
        <f t="shared" si="1"/>
        <v>93572</v>
      </c>
      <c r="F37" s="372">
        <f t="shared" si="2"/>
        <v>11657.136</v>
      </c>
      <c r="G37" s="376">
        <f t="shared" si="3"/>
        <v>467.86</v>
      </c>
      <c r="H37" s="372">
        <f t="shared" si="4"/>
        <v>22251.421600000001</v>
      </c>
      <c r="I37" s="647">
        <f t="shared" si="5"/>
        <v>127948.4176</v>
      </c>
      <c r="J37" s="128">
        <v>1560</v>
      </c>
      <c r="K37" s="649">
        <f t="shared" si="6"/>
        <v>82.02</v>
      </c>
      <c r="L37" s="373">
        <v>0.3</v>
      </c>
      <c r="M37" s="590">
        <v>0.6</v>
      </c>
      <c r="O37" s="632">
        <v>93572</v>
      </c>
      <c r="P37" s="274">
        <v>101744</v>
      </c>
      <c r="Q37">
        <v>99307</v>
      </c>
      <c r="R37">
        <v>95694</v>
      </c>
      <c r="V37" s="160"/>
      <c r="W37" s="161"/>
      <c r="X37" s="162"/>
    </row>
    <row r="38" spans="1:24">
      <c r="A38" s="384" t="s">
        <v>923</v>
      </c>
      <c r="B38" s="375" t="s">
        <v>898</v>
      </c>
      <c r="C38" s="372">
        <f>HLOOKUP($C$4,$O$11:$R$41,28,FALSE)</f>
        <v>101677</v>
      </c>
      <c r="D38" s="372">
        <f t="shared" si="0"/>
        <v>0</v>
      </c>
      <c r="E38" s="372">
        <f t="shared" si="1"/>
        <v>101677</v>
      </c>
      <c r="F38" s="372">
        <f t="shared" si="2"/>
        <v>12775.626</v>
      </c>
      <c r="G38" s="376">
        <f t="shared" si="3"/>
        <v>508.38499999999999</v>
      </c>
      <c r="H38" s="372">
        <f t="shared" si="4"/>
        <v>24178.7906</v>
      </c>
      <c r="I38" s="647">
        <f t="shared" si="5"/>
        <v>139139.80160000001</v>
      </c>
      <c r="J38" s="128">
        <v>1560</v>
      </c>
      <c r="K38" s="649">
        <f t="shared" si="6"/>
        <v>89.19</v>
      </c>
      <c r="L38" s="373">
        <v>0.3</v>
      </c>
      <c r="M38" s="590">
        <v>0.6</v>
      </c>
      <c r="O38" s="632">
        <v>101677</v>
      </c>
      <c r="P38" s="274">
        <v>109849</v>
      </c>
      <c r="Q38">
        <v>107412</v>
      </c>
      <c r="R38">
        <v>103799</v>
      </c>
    </row>
    <row r="39" spans="1:24">
      <c r="A39" s="384">
        <v>9</v>
      </c>
      <c r="B39" s="375" t="s">
        <v>899</v>
      </c>
      <c r="C39" s="372">
        <f>HLOOKUP($C$4,$O$11:$R$41,29,FALSE)</f>
        <v>105385</v>
      </c>
      <c r="D39" s="372">
        <f t="shared" si="0"/>
        <v>0</v>
      </c>
      <c r="E39" s="372">
        <f t="shared" si="1"/>
        <v>105385</v>
      </c>
      <c r="F39" s="372">
        <f t="shared" si="2"/>
        <v>13287.330000000002</v>
      </c>
      <c r="G39" s="376">
        <f t="shared" si="3"/>
        <v>526.92499999999995</v>
      </c>
      <c r="H39" s="372">
        <f t="shared" si="4"/>
        <v>25060.553</v>
      </c>
      <c r="I39" s="647">
        <f t="shared" si="5"/>
        <v>144259.80800000002</v>
      </c>
      <c r="J39" s="128">
        <v>1560</v>
      </c>
      <c r="K39" s="649">
        <f t="shared" si="6"/>
        <v>92.47</v>
      </c>
      <c r="L39" s="373">
        <v>0.3</v>
      </c>
      <c r="M39" s="590">
        <v>0.6</v>
      </c>
      <c r="O39" s="632">
        <v>105385</v>
      </c>
      <c r="P39" s="274">
        <v>113557</v>
      </c>
      <c r="Q39">
        <v>111120</v>
      </c>
      <c r="R39">
        <v>107507</v>
      </c>
    </row>
    <row r="40" spans="1:24">
      <c r="A40" s="384">
        <v>9</v>
      </c>
      <c r="B40" s="375" t="s">
        <v>900</v>
      </c>
      <c r="C40" s="372">
        <f>HLOOKUP($C$4,$O$11:$R$41,30,FALSE)</f>
        <v>111740</v>
      </c>
      <c r="D40" s="372">
        <f t="shared" si="0"/>
        <v>0</v>
      </c>
      <c r="E40" s="372">
        <f t="shared" si="1"/>
        <v>111740</v>
      </c>
      <c r="F40" s="372">
        <f t="shared" si="2"/>
        <v>14164.320000000002</v>
      </c>
      <c r="G40" s="376">
        <f t="shared" si="3"/>
        <v>558.70000000000005</v>
      </c>
      <c r="H40" s="372">
        <f t="shared" si="4"/>
        <v>26571.772000000001</v>
      </c>
      <c r="I40" s="647">
        <f t="shared" si="5"/>
        <v>153034.79200000002</v>
      </c>
      <c r="J40" s="128">
        <v>1560</v>
      </c>
      <c r="K40" s="649">
        <f t="shared" si="6"/>
        <v>98.1</v>
      </c>
      <c r="L40" s="373">
        <v>0.3</v>
      </c>
      <c r="M40" s="590">
        <v>0.6</v>
      </c>
      <c r="O40" s="632">
        <v>111740</v>
      </c>
      <c r="P40" s="274">
        <v>119912</v>
      </c>
      <c r="Q40">
        <v>117475</v>
      </c>
      <c r="R40">
        <v>113862</v>
      </c>
    </row>
    <row r="41" spans="1:24">
      <c r="A41" s="384">
        <v>9</v>
      </c>
      <c r="B41" s="375" t="s">
        <v>901</v>
      </c>
      <c r="C41" s="372">
        <f>HLOOKUP($C$4,$O$11:$R$41,31,FALSE)</f>
        <v>121271</v>
      </c>
      <c r="D41" s="372">
        <f t="shared" si="0"/>
        <v>0</v>
      </c>
      <c r="E41" s="372">
        <f t="shared" si="1"/>
        <v>121271</v>
      </c>
      <c r="F41" s="372">
        <f t="shared" si="2"/>
        <v>15479.598000000002</v>
      </c>
      <c r="G41" s="376">
        <f t="shared" si="3"/>
        <v>606.35500000000002</v>
      </c>
      <c r="H41" s="372">
        <f t="shared" si="4"/>
        <v>28838.2438</v>
      </c>
      <c r="I41" s="647">
        <f t="shared" si="5"/>
        <v>166195.19680000001</v>
      </c>
      <c r="J41" s="128">
        <v>1560</v>
      </c>
      <c r="K41" s="649">
        <f t="shared" si="6"/>
        <v>106.54</v>
      </c>
      <c r="L41" s="373">
        <v>0.3</v>
      </c>
      <c r="M41" s="590">
        <v>0.6</v>
      </c>
      <c r="O41" s="632">
        <v>121271</v>
      </c>
      <c r="P41" s="274">
        <v>129443</v>
      </c>
      <c r="Q41">
        <v>127006</v>
      </c>
      <c r="R41">
        <v>123393</v>
      </c>
    </row>
    <row r="42" spans="1:24">
      <c r="A42" s="384" t="s">
        <v>905</v>
      </c>
      <c r="B42" s="149" t="s">
        <v>906</v>
      </c>
      <c r="C42" s="372">
        <v>73113</v>
      </c>
      <c r="D42" s="372">
        <f t="shared" si="0"/>
        <v>0</v>
      </c>
      <c r="E42" s="372">
        <f t="shared" si="1"/>
        <v>73113</v>
      </c>
      <c r="F42" s="372">
        <f t="shared" si="2"/>
        <v>8833.7939999999999</v>
      </c>
      <c r="G42" s="376">
        <f t="shared" si="3"/>
        <v>365.565</v>
      </c>
      <c r="H42" s="372">
        <f>C42*0.2068</f>
        <v>15119.768400000001</v>
      </c>
      <c r="I42" s="647">
        <f t="shared" si="5"/>
        <v>97432.127399999998</v>
      </c>
      <c r="J42" s="128">
        <f>W36</f>
        <v>1287</v>
      </c>
      <c r="K42" s="649">
        <f t="shared" si="6"/>
        <v>75.7</v>
      </c>
      <c r="L42" s="374">
        <v>0</v>
      </c>
      <c r="M42" s="591">
        <v>0</v>
      </c>
      <c r="R42"/>
    </row>
    <row r="43" spans="1:24">
      <c r="A43" s="384" t="s">
        <v>905</v>
      </c>
      <c r="B43" s="149" t="s">
        <v>907</v>
      </c>
      <c r="C43" s="372">
        <f>(C42+C44)/2</f>
        <v>91721.5</v>
      </c>
      <c r="D43" s="372">
        <f t="shared" si="0"/>
        <v>0</v>
      </c>
      <c r="E43" s="372">
        <f t="shared" si="1"/>
        <v>91721.5</v>
      </c>
      <c r="F43" s="372">
        <f t="shared" si="2"/>
        <v>11401.767000000002</v>
      </c>
      <c r="G43" s="376">
        <f t="shared" si="3"/>
        <v>458.60750000000002</v>
      </c>
      <c r="H43" s="372">
        <f>C43*0.2068</f>
        <v>18968.0062</v>
      </c>
      <c r="I43" s="647">
        <f t="shared" si="5"/>
        <v>122549.88070000001</v>
      </c>
      <c r="J43" s="128">
        <f>W36</f>
        <v>1287</v>
      </c>
      <c r="K43" s="649">
        <f t="shared" si="6"/>
        <v>95.22</v>
      </c>
      <c r="L43" s="374">
        <v>0</v>
      </c>
      <c r="M43" s="591">
        <v>0</v>
      </c>
      <c r="R43"/>
    </row>
    <row r="44" spans="1:24">
      <c r="A44" s="652" t="s">
        <v>905</v>
      </c>
      <c r="B44" s="653" t="s">
        <v>907</v>
      </c>
      <c r="C44" s="433">
        <v>110330</v>
      </c>
      <c r="D44" s="433">
        <f t="shared" si="0"/>
        <v>0</v>
      </c>
      <c r="E44" s="372">
        <f t="shared" si="1"/>
        <v>110330</v>
      </c>
      <c r="F44" s="372">
        <f t="shared" si="2"/>
        <v>13969.740000000002</v>
      </c>
      <c r="G44" s="376">
        <f t="shared" si="3"/>
        <v>551.65</v>
      </c>
      <c r="H44" s="433">
        <f>C44*0.2068</f>
        <v>22816.244000000002</v>
      </c>
      <c r="I44" s="647">
        <f t="shared" si="5"/>
        <v>147667.63399999999</v>
      </c>
      <c r="J44" s="128">
        <f>W36</f>
        <v>1287</v>
      </c>
      <c r="K44" s="649">
        <f t="shared" si="6"/>
        <v>114.74</v>
      </c>
      <c r="L44" s="374">
        <v>0</v>
      </c>
      <c r="M44" s="591">
        <v>0</v>
      </c>
      <c r="R44"/>
    </row>
    <row r="45" spans="1:24">
      <c r="A45" s="384" t="s">
        <v>902</v>
      </c>
      <c r="B45" s="149" t="s">
        <v>903</v>
      </c>
      <c r="C45" s="372">
        <v>105504</v>
      </c>
      <c r="D45" s="372">
        <f t="shared" si="0"/>
        <v>0</v>
      </c>
      <c r="E45" s="372">
        <f t="shared" si="1"/>
        <v>105504</v>
      </c>
      <c r="F45" s="372">
        <f t="shared" si="2"/>
        <v>13303.752</v>
      </c>
      <c r="G45" s="376">
        <f t="shared" si="3"/>
        <v>527.52</v>
      </c>
      <c r="H45" s="372">
        <f t="shared" si="4"/>
        <v>25088.851200000001</v>
      </c>
      <c r="I45" s="647">
        <f t="shared" si="5"/>
        <v>144424.1232</v>
      </c>
      <c r="J45" s="128">
        <v>1376</v>
      </c>
      <c r="K45" s="649">
        <f t="shared" si="6"/>
        <v>104.96</v>
      </c>
      <c r="L45" s="374">
        <v>0</v>
      </c>
      <c r="M45" s="591">
        <v>0</v>
      </c>
      <c r="R45"/>
    </row>
    <row r="46" spans="1:24">
      <c r="A46" s="384" t="s">
        <v>902</v>
      </c>
      <c r="B46" s="149" t="s">
        <v>742</v>
      </c>
      <c r="C46" s="372">
        <f>(4*114894+6*126018)/10</f>
        <v>121568.4</v>
      </c>
      <c r="D46" s="372">
        <f t="shared" si="0"/>
        <v>0</v>
      </c>
      <c r="E46" s="372">
        <f t="shared" si="1"/>
        <v>121568.4</v>
      </c>
      <c r="F46" s="372">
        <f t="shared" si="2"/>
        <v>15520.6392</v>
      </c>
      <c r="G46" s="376">
        <f t="shared" si="3"/>
        <v>607.84199999999998</v>
      </c>
      <c r="H46" s="372">
        <f t="shared" si="4"/>
        <v>28908.965520000002</v>
      </c>
      <c r="I46" s="647">
        <f t="shared" si="5"/>
        <v>166605.84672</v>
      </c>
      <c r="J46" s="128">
        <v>1376</v>
      </c>
      <c r="K46" s="649">
        <f t="shared" si="6"/>
        <v>121.08</v>
      </c>
      <c r="L46" s="374">
        <v>0</v>
      </c>
      <c r="M46" s="591">
        <v>0</v>
      </c>
      <c r="R46"/>
    </row>
    <row r="47" spans="1:24" ht="15" thickBot="1">
      <c r="A47" s="385" t="s">
        <v>902</v>
      </c>
      <c r="B47" s="377" t="s">
        <v>904</v>
      </c>
      <c r="C47" s="378">
        <v>139882</v>
      </c>
      <c r="D47" s="378">
        <f t="shared" si="0"/>
        <v>0</v>
      </c>
      <c r="E47" s="378">
        <f t="shared" si="1"/>
        <v>139882</v>
      </c>
      <c r="F47" s="378">
        <f t="shared" si="2"/>
        <v>18047.916000000001</v>
      </c>
      <c r="G47" s="654">
        <f t="shared" si="3"/>
        <v>699.41</v>
      </c>
      <c r="H47" s="378">
        <f t="shared" si="4"/>
        <v>33263.939600000005</v>
      </c>
      <c r="I47" s="379">
        <f t="shared" si="5"/>
        <v>191893.26560000001</v>
      </c>
      <c r="J47" s="655">
        <v>1376</v>
      </c>
      <c r="K47" s="592">
        <f t="shared" si="6"/>
        <v>139.46</v>
      </c>
      <c r="L47" s="593">
        <v>0</v>
      </c>
      <c r="M47" s="594">
        <v>0</v>
      </c>
      <c r="R47"/>
    </row>
    <row r="48" spans="1:24">
      <c r="E48"/>
      <c r="G48" s="370"/>
      <c r="R48"/>
    </row>
    <row r="49" spans="5:18">
      <c r="E49"/>
      <c r="G49" s="370"/>
      <c r="R49"/>
    </row>
    <row r="50" spans="5:18">
      <c r="E50"/>
      <c r="G50" s="370"/>
      <c r="R50"/>
    </row>
    <row r="51" spans="5:18">
      <c r="E51"/>
      <c r="R51"/>
    </row>
    <row r="52" spans="5:18">
      <c r="E52"/>
      <c r="R52"/>
    </row>
    <row r="53" spans="5:18">
      <c r="E53"/>
      <c r="R53"/>
    </row>
    <row r="54" spans="5:18">
      <c r="E54"/>
      <c r="R54"/>
    </row>
    <row r="55" spans="5:18">
      <c r="E55"/>
      <c r="R55"/>
    </row>
    <row r="56" spans="5:18">
      <c r="E56"/>
      <c r="R56"/>
    </row>
    <row r="57" spans="5:18">
      <c r="E57"/>
      <c r="R57"/>
    </row>
    <row r="58" spans="5:18">
      <c r="E58"/>
      <c r="R58"/>
    </row>
    <row r="59" spans="5:18">
      <c r="E59"/>
      <c r="R59"/>
    </row>
    <row r="60" spans="5:18">
      <c r="E60"/>
      <c r="R60"/>
    </row>
    <row r="61" spans="5:18">
      <c r="E61"/>
      <c r="R61"/>
    </row>
    <row r="62" spans="5:18">
      <c r="E62"/>
      <c r="R62"/>
    </row>
    <row r="63" spans="5:18">
      <c r="E63"/>
      <c r="R63"/>
    </row>
    <row r="64" spans="5:18">
      <c r="E64"/>
      <c r="R64"/>
    </row>
    <row r="65" spans="5:18">
      <c r="E65"/>
      <c r="R65"/>
    </row>
    <row r="66" spans="5:18">
      <c r="E66"/>
      <c r="R66"/>
    </row>
    <row r="67" spans="5:18">
      <c r="E67"/>
      <c r="R67"/>
    </row>
    <row r="68" spans="5:18">
      <c r="E68"/>
      <c r="R68"/>
    </row>
    <row r="69" spans="5:18">
      <c r="E69"/>
      <c r="R69"/>
    </row>
    <row r="70" spans="5:18">
      <c r="E70"/>
      <c r="R70"/>
    </row>
    <row r="71" spans="5:18">
      <c r="E71"/>
      <c r="R71"/>
    </row>
    <row r="72" spans="5:18">
      <c r="E72"/>
      <c r="R72"/>
    </row>
    <row r="73" spans="5:18">
      <c r="E73"/>
      <c r="R73"/>
    </row>
    <row r="74" spans="5:18">
      <c r="E74"/>
      <c r="R74"/>
    </row>
    <row r="75" spans="5:18">
      <c r="E75"/>
      <c r="R75"/>
    </row>
    <row r="76" spans="5:18">
      <c r="E76"/>
      <c r="R76"/>
    </row>
    <row r="77" spans="5:18">
      <c r="E77"/>
      <c r="R77"/>
    </row>
    <row r="78" spans="5:18">
      <c r="E78"/>
      <c r="R78"/>
    </row>
    <row r="79" spans="5:18">
      <c r="E79"/>
      <c r="R79"/>
    </row>
    <row r="80" spans="5:18">
      <c r="E80"/>
      <c r="R80"/>
    </row>
    <row r="81" spans="5:18">
      <c r="E81"/>
      <c r="R81"/>
    </row>
    <row r="82" spans="5:18">
      <c r="E82"/>
      <c r="R82"/>
    </row>
    <row r="83" spans="5:18">
      <c r="E83"/>
      <c r="R83"/>
    </row>
    <row r="84" spans="5:18">
      <c r="E84"/>
      <c r="R84"/>
    </row>
    <row r="85" spans="5:18">
      <c r="E85"/>
      <c r="R85"/>
    </row>
    <row r="86" spans="5:18">
      <c r="E86"/>
      <c r="R86"/>
    </row>
    <row r="87" spans="5:18">
      <c r="E87"/>
      <c r="R87"/>
    </row>
    <row r="88" spans="5:18">
      <c r="E88"/>
      <c r="R88"/>
    </row>
    <row r="89" spans="5:18">
      <c r="E89"/>
      <c r="R89"/>
    </row>
    <row r="90" spans="5:18">
      <c r="E90"/>
      <c r="R90"/>
    </row>
    <row r="91" spans="5:18">
      <c r="E91"/>
      <c r="R91"/>
    </row>
    <row r="92" spans="5:18">
      <c r="E92"/>
      <c r="R92"/>
    </row>
    <row r="93" spans="5:18">
      <c r="E93"/>
      <c r="R93"/>
    </row>
    <row r="94" spans="5:18">
      <c r="E94"/>
      <c r="R94"/>
    </row>
    <row r="95" spans="5:18">
      <c r="E95"/>
      <c r="R95"/>
    </row>
    <row r="96" spans="5:18">
      <c r="E96"/>
      <c r="R96"/>
    </row>
    <row r="97" spans="5:18">
      <c r="E97"/>
      <c r="R97"/>
    </row>
    <row r="98" spans="5:18">
      <c r="E98"/>
      <c r="R98"/>
    </row>
    <row r="99" spans="5:18">
      <c r="E99"/>
      <c r="R99"/>
    </row>
    <row r="100" spans="5:18">
      <c r="E100"/>
      <c r="R100"/>
    </row>
    <row r="101" spans="5:18" ht="23.65" customHeight="1">
      <c r="E101"/>
      <c r="R101"/>
    </row>
    <row r="102" spans="5:18" ht="55.5" customHeight="1">
      <c r="E102"/>
      <c r="R102"/>
    </row>
    <row r="103" spans="5:18" ht="23.65" customHeight="1">
      <c r="E103"/>
      <c r="R103"/>
    </row>
    <row r="104" spans="5:18" ht="23.65" customHeight="1">
      <c r="E104"/>
      <c r="R104"/>
    </row>
    <row r="105" spans="5:18" ht="23.65" customHeight="1">
      <c r="E105"/>
      <c r="R105"/>
    </row>
    <row r="106" spans="5:18" ht="23.65" customHeight="1">
      <c r="E106"/>
      <c r="R106"/>
    </row>
    <row r="107" spans="5:18" ht="23.65" customHeight="1">
      <c r="E107"/>
      <c r="R107"/>
    </row>
    <row r="108" spans="5:18">
      <c r="E108"/>
      <c r="R108"/>
    </row>
    <row r="109" spans="5:18">
      <c r="E109"/>
      <c r="R109"/>
    </row>
    <row r="110" spans="5:18">
      <c r="E110"/>
      <c r="R110"/>
    </row>
    <row r="111" spans="5:18">
      <c r="E111"/>
      <c r="R111"/>
    </row>
    <row r="112" spans="5:18">
      <c r="E112"/>
      <c r="R112"/>
    </row>
    <row r="113" spans="5:18">
      <c r="E113"/>
      <c r="R113"/>
    </row>
    <row r="114" spans="5:18">
      <c r="E114"/>
      <c r="R114"/>
    </row>
    <row r="115" spans="5:18">
      <c r="E115"/>
      <c r="R115"/>
    </row>
    <row r="116" spans="5:18">
      <c r="E116"/>
      <c r="R116"/>
    </row>
  </sheetData>
  <sheetProtection algorithmName="SHA-512" hashValue="3sxZ+3DyH8yQ6816G9PQVYA2g0o/jcAvMJxyJfuizAUEqWsafJ2hL7xPrNWuZ7grQg1Ia0fy2M3/VB86pJWsww==" saltValue="ddINJBbf69OLr+nnyidlww==" spinCount="100000" sheet="1" objects="1" scenarios="1"/>
  <dataValidations count="1">
    <dataValidation type="list" allowBlank="1" showInputMessage="1" showErrorMessage="1" sqref="C4" xr:uid="{02E9ECF3-B038-40AE-9396-2390252F0057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5"/>
  <cols>
    <col min="1" max="2" width="3.7265625" customWidth="1"/>
    <col min="3" max="3" width="20.54296875" customWidth="1"/>
    <col min="4" max="4" width="3.7265625" customWidth="1"/>
    <col min="5" max="5" width="20.54296875" customWidth="1"/>
    <col min="6" max="6" width="3.7265625" customWidth="1"/>
    <col min="7" max="7" width="20.54296875" customWidth="1"/>
    <col min="8" max="10" width="3.7265625" customWidth="1"/>
    <col min="11" max="11" width="20.54296875" customWidth="1"/>
    <col min="12" max="12" width="3.7265625" customWidth="1"/>
    <col min="13" max="13" width="20.54296875" customWidth="1"/>
    <col min="14" max="14" width="3.7265625" customWidth="1"/>
    <col min="15" max="15" width="20.54296875" customWidth="1"/>
    <col min="16" max="16" width="3.7265625" customWidth="1"/>
  </cols>
  <sheetData>
    <row r="2" spans="2:17" ht="26">
      <c r="B2" s="326" t="s">
        <v>20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5"/>
    </row>
    <row r="5" spans="2:17">
      <c r="B5" s="217" t="s">
        <v>21</v>
      </c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218"/>
    </row>
    <row r="6" spans="2:17">
      <c r="B6" s="222" t="s">
        <v>22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23"/>
    </row>
    <row r="7" spans="2:17">
      <c r="B7" s="220" t="s">
        <v>23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21"/>
    </row>
    <row r="9" spans="2:17">
      <c r="N9" s="355"/>
      <c r="O9" s="355"/>
      <c r="P9" s="355"/>
    </row>
    <row r="10" spans="2:17">
      <c r="B10" s="217"/>
      <c r="C10" s="332"/>
      <c r="D10" s="332"/>
      <c r="E10" s="332"/>
      <c r="F10" s="332"/>
      <c r="G10" s="332"/>
      <c r="H10" s="218"/>
      <c r="J10" s="217"/>
      <c r="K10" s="332"/>
      <c r="L10" s="332"/>
      <c r="M10" s="332"/>
      <c r="N10" s="215"/>
      <c r="O10" s="215"/>
      <c r="P10" s="215"/>
      <c r="Q10" s="159"/>
    </row>
    <row r="11" spans="2:17" ht="46.5">
      <c r="B11" s="222"/>
      <c r="C11" s="311" t="s">
        <v>24</v>
      </c>
      <c r="D11" s="358"/>
      <c r="E11" s="311" t="s">
        <v>25</v>
      </c>
      <c r="F11" s="358"/>
      <c r="G11" s="354" t="s">
        <v>26</v>
      </c>
      <c r="H11" s="359"/>
      <c r="I11" s="312"/>
      <c r="J11" s="362"/>
      <c r="K11" s="313" t="s">
        <v>27</v>
      </c>
      <c r="L11" s="362"/>
      <c r="M11" s="313" t="s">
        <v>28</v>
      </c>
      <c r="N11" s="358"/>
      <c r="O11" s="313" t="s">
        <v>29</v>
      </c>
      <c r="P11" s="358"/>
      <c r="Q11" s="159"/>
    </row>
    <row r="12" spans="2:17">
      <c r="B12" s="222"/>
      <c r="C12" s="215"/>
      <c r="D12" s="215"/>
      <c r="E12" s="215"/>
      <c r="F12" s="215"/>
      <c r="G12" s="215"/>
      <c r="H12" s="223"/>
      <c r="J12" s="222"/>
      <c r="K12" s="215"/>
      <c r="L12" s="215"/>
      <c r="M12" s="215"/>
      <c r="N12" s="215"/>
      <c r="O12" s="215"/>
      <c r="P12" s="215"/>
      <c r="Q12" s="159"/>
    </row>
    <row r="13" spans="2:17" ht="40.15" customHeight="1">
      <c r="B13" s="222"/>
      <c r="C13" s="356"/>
      <c r="D13" s="195"/>
      <c r="E13" s="409" t="s">
        <v>30</v>
      </c>
      <c r="F13" s="195"/>
      <c r="G13" s="357"/>
      <c r="H13" s="223"/>
      <c r="J13" s="222"/>
      <c r="K13" s="356"/>
      <c r="L13" s="195"/>
      <c r="M13" s="410" t="s">
        <v>31</v>
      </c>
      <c r="N13" s="195"/>
      <c r="O13" s="357"/>
      <c r="P13" s="215"/>
      <c r="Q13" s="159"/>
    </row>
    <row r="14" spans="2:17">
      <c r="B14" s="222"/>
      <c r="C14" s="215"/>
      <c r="D14" s="215"/>
      <c r="E14" s="215"/>
      <c r="F14" s="215"/>
      <c r="G14" s="215"/>
      <c r="H14" s="223"/>
      <c r="J14" s="222"/>
      <c r="K14" s="215"/>
      <c r="L14" s="215"/>
      <c r="M14" s="215"/>
      <c r="N14" s="215"/>
      <c r="O14" s="215"/>
      <c r="P14" s="215"/>
      <c r="Q14" s="159"/>
    </row>
    <row r="15" spans="2:17" ht="213.75" customHeight="1">
      <c r="B15" s="222"/>
      <c r="C15" s="308" t="s">
        <v>32</v>
      </c>
      <c r="D15" s="360"/>
      <c r="E15" s="309" t="s">
        <v>33</v>
      </c>
      <c r="F15" s="360"/>
      <c r="G15" s="307" t="s">
        <v>34</v>
      </c>
      <c r="H15" s="361"/>
      <c r="I15" s="233"/>
      <c r="J15" s="363"/>
      <c r="K15" s="310" t="s">
        <v>35</v>
      </c>
      <c r="L15" s="363"/>
      <c r="M15" s="335" t="s">
        <v>36</v>
      </c>
      <c r="N15" s="360"/>
      <c r="O15" s="335" t="s">
        <v>37</v>
      </c>
      <c r="P15" s="360"/>
      <c r="Q15" s="159"/>
    </row>
    <row r="16" spans="2:17">
      <c r="B16" s="220"/>
      <c r="C16" s="219"/>
      <c r="D16" s="219"/>
      <c r="E16" s="219"/>
      <c r="F16" s="219"/>
      <c r="G16" s="219"/>
      <c r="H16" s="221"/>
      <c r="J16" s="220"/>
      <c r="K16" s="219"/>
      <c r="L16" s="364"/>
      <c r="M16" s="364"/>
      <c r="N16" s="364"/>
      <c r="O16" s="364"/>
      <c r="P16" s="364"/>
      <c r="Q16" s="159"/>
    </row>
    <row r="19" spans="2:16">
      <c r="B19" s="217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218"/>
    </row>
    <row r="20" spans="2:16">
      <c r="B20" s="222" t="s">
        <v>38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23"/>
    </row>
    <row r="21" spans="2:16">
      <c r="B21" s="365" t="s">
        <v>39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23"/>
    </row>
    <row r="22" spans="2:16">
      <c r="B22" s="366" t="s">
        <v>40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23"/>
    </row>
    <row r="23" spans="2:16">
      <c r="B23" s="367" t="s">
        <v>41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23"/>
    </row>
    <row r="24" spans="2:16">
      <c r="B24" s="366" t="s">
        <v>42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23"/>
    </row>
    <row r="25" spans="2:16">
      <c r="B25" s="366" t="s">
        <v>43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23"/>
    </row>
    <row r="26" spans="2:16">
      <c r="B26" s="222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23"/>
    </row>
    <row r="27" spans="2:16">
      <c r="B27" s="368" t="s">
        <v>44</v>
      </c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23"/>
    </row>
    <row r="28" spans="2:16">
      <c r="B28" s="220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1"/>
    </row>
  </sheetData>
  <sheetProtection algorithmName="SHA-512" hashValue="Puq9CuEZmnE+98UFZ+6byjJaYAWCi1AoSPiUG/6aPK4A6uqcRGJawaGLnEEAxzZ3hmLvMQasInDH6mkAUzc26g==" saltValue="MxkMgmMdRX/yXViNR2hnm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40" zoomScaleNormal="40" workbookViewId="0"/>
  </sheetViews>
  <sheetFormatPr defaultColWidth="9.26953125" defaultRowHeight="14"/>
  <cols>
    <col min="1" max="1" width="24.453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7265625" style="11" customWidth="1"/>
    <col min="14" max="14" width="22.54296875" style="11" customWidth="1"/>
    <col min="15" max="15" width="25.7265625" style="11" customWidth="1"/>
    <col min="16" max="16" width="10.7265625" style="11" customWidth="1"/>
    <col min="17" max="17" width="15.26953125" style="12" customWidth="1"/>
    <col min="18" max="18" width="20.26953125" style="12" customWidth="1"/>
    <col min="19" max="23" width="10.7265625" style="12" customWidth="1"/>
    <col min="24" max="42" width="10.7265625" style="12" hidden="1" customWidth="1"/>
    <col min="43" max="50" width="10.7265625" style="13" hidden="1" customWidth="1"/>
    <col min="51" max="100" width="10.7265625" style="1" hidden="1" customWidth="1"/>
    <col min="101" max="106" width="10.7265625" style="1" customWidth="1"/>
    <col min="107" max="190" width="10.7265625" style="11" hidden="1" customWidth="1"/>
    <col min="191" max="193" width="10.7265625" style="11" customWidth="1"/>
    <col min="194" max="194" width="10.453125" style="11" customWidth="1"/>
    <col min="195" max="16384" width="9.26953125" style="11"/>
  </cols>
  <sheetData>
    <row r="1" spans="2:106">
      <c r="B1" s="9" t="s">
        <v>45</v>
      </c>
      <c r="C1" s="102"/>
      <c r="D1" s="22"/>
      <c r="E1" s="10" t="s">
        <v>46</v>
      </c>
      <c r="F1" s="7"/>
      <c r="G1" s="7"/>
    </row>
    <row r="3" spans="2:106">
      <c r="B3" s="92" t="s">
        <v>47</v>
      </c>
      <c r="C3" s="415"/>
      <c r="D3" s="416"/>
      <c r="E3" s="416"/>
      <c r="F3" s="416"/>
      <c r="G3" s="93"/>
    </row>
    <row r="4" spans="2:106">
      <c r="B4" s="94"/>
      <c r="C4" s="95"/>
      <c r="D4" s="7"/>
      <c r="E4" s="7"/>
      <c r="F4" s="7"/>
      <c r="G4" s="96"/>
      <c r="L4" s="9" t="s">
        <v>48</v>
      </c>
      <c r="M4" s="9" t="s">
        <v>48</v>
      </c>
      <c r="N4" s="9" t="s">
        <v>49</v>
      </c>
      <c r="O4" s="9" t="s">
        <v>49</v>
      </c>
      <c r="P4" s="9" t="s">
        <v>50</v>
      </c>
      <c r="R4" s="168" t="s">
        <v>51</v>
      </c>
      <c r="S4" s="168" t="s">
        <v>52</v>
      </c>
      <c r="T4" s="168" t="s">
        <v>53</v>
      </c>
      <c r="V4" s="168" t="s">
        <v>54</v>
      </c>
    </row>
    <row r="5" spans="2:106" ht="28">
      <c r="B5" s="97" t="s">
        <v>55</v>
      </c>
      <c r="C5" s="95"/>
      <c r="D5" s="7"/>
      <c r="E5" s="7"/>
      <c r="F5" s="7"/>
      <c r="G5" s="96"/>
      <c r="L5" s="16" t="s">
        <v>56</v>
      </c>
      <c r="M5" s="16" t="s">
        <v>57</v>
      </c>
      <c r="N5" s="16" t="s">
        <v>58</v>
      </c>
      <c r="O5" s="16" t="s">
        <v>59</v>
      </c>
      <c r="P5" s="19"/>
      <c r="Q5" s="17"/>
      <c r="R5" s="16" t="s">
        <v>59</v>
      </c>
      <c r="S5" s="138" t="s">
        <v>60</v>
      </c>
      <c r="V5" s="139">
        <v>4</v>
      </c>
    </row>
    <row r="6" spans="2:106">
      <c r="B6" s="97" t="s">
        <v>61</v>
      </c>
      <c r="C6" s="95"/>
      <c r="D6" s="7"/>
      <c r="E6" s="7"/>
      <c r="F6" s="7"/>
      <c r="G6" s="96"/>
      <c r="J6" s="134"/>
      <c r="L6" s="21" t="s">
        <v>62</v>
      </c>
      <c r="M6" s="21" t="s">
        <v>63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0" t="s">
        <v>64</v>
      </c>
      <c r="S6" s="138" t="s">
        <v>65</v>
      </c>
      <c r="V6" s="139">
        <v>5</v>
      </c>
    </row>
    <row r="7" spans="2:106">
      <c r="B7" s="94"/>
      <c r="C7" s="95"/>
      <c r="D7" s="7"/>
      <c r="E7" s="7"/>
      <c r="F7" s="7"/>
      <c r="G7" s="96"/>
      <c r="L7" s="21" t="s">
        <v>66</v>
      </c>
      <c r="M7" s="21" t="s">
        <v>67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0" t="s">
        <v>68</v>
      </c>
      <c r="S7" s="331"/>
      <c r="V7" s="139">
        <v>6</v>
      </c>
    </row>
    <row r="8" spans="2:106" ht="19.5" customHeight="1">
      <c r="B8" s="98" t="s">
        <v>69</v>
      </c>
      <c r="C8" s="99"/>
      <c r="D8" s="100"/>
      <c r="E8" s="100"/>
      <c r="F8" s="100"/>
      <c r="G8" s="101"/>
      <c r="L8" s="21" t="s">
        <v>70</v>
      </c>
      <c r="M8" s="21" t="s">
        <v>71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>
      <c r="B9" s="14"/>
      <c r="L9" s="21" t="s">
        <v>72</v>
      </c>
      <c r="M9" s="21" t="s">
        <v>73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74</v>
      </c>
    </row>
    <row r="10" spans="2:106" ht="14.5">
      <c r="B10" s="14"/>
      <c r="K10" s="24"/>
      <c r="L10" s="21" t="s">
        <v>75</v>
      </c>
      <c r="M10" s="21" t="s">
        <v>76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77</v>
      </c>
    </row>
    <row r="11" spans="2:106">
      <c r="B11" s="9" t="s">
        <v>78</v>
      </c>
      <c r="C11" s="24"/>
      <c r="D11" s="24"/>
      <c r="E11" s="24"/>
      <c r="K11" s="24"/>
      <c r="L11" s="111" t="s">
        <v>79</v>
      </c>
      <c r="M11" s="21" t="s">
        <v>80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81</v>
      </c>
    </row>
    <row r="12" spans="2:106" ht="43.5" customHeight="1">
      <c r="B12" s="15"/>
      <c r="D12" s="199" t="s">
        <v>82</v>
      </c>
      <c r="E12" s="199" t="s">
        <v>82</v>
      </c>
      <c r="L12" s="21" t="s">
        <v>83</v>
      </c>
      <c r="M12" s="21" t="s">
        <v>84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85</v>
      </c>
    </row>
    <row r="13" spans="2:106" s="19" customFormat="1" ht="46.15" customHeight="1">
      <c r="B13" s="200" t="s">
        <v>86</v>
      </c>
      <c r="C13" s="200" t="s">
        <v>87</v>
      </c>
      <c r="D13" s="26" t="s">
        <v>88</v>
      </c>
      <c r="E13" s="26" t="s">
        <v>89</v>
      </c>
      <c r="F13" s="200" t="s">
        <v>90</v>
      </c>
      <c r="G13" s="11"/>
      <c r="H13" s="11"/>
      <c r="I13" s="11"/>
      <c r="K13" s="11"/>
      <c r="L13" s="21" t="s">
        <v>91</v>
      </c>
      <c r="M13" s="21" t="s">
        <v>92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38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>
      <c r="B14" s="201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93</v>
      </c>
      <c r="M14" s="21" t="s">
        <v>94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95</v>
      </c>
    </row>
    <row r="15" spans="2:106">
      <c r="B15" s="201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96</v>
      </c>
    </row>
    <row r="16" spans="2:106">
      <c r="B16" s="202" t="s">
        <v>97</v>
      </c>
      <c r="C16" s="203">
        <f>IF(C15&gt;0,C14,C15)</f>
        <v>57106398</v>
      </c>
      <c r="D16" s="203">
        <f>IF(D15&gt;0,D14,D15)</f>
        <v>21895402</v>
      </c>
      <c r="E16" s="203">
        <f>IF(E15&gt;0,E14,E15)</f>
        <v>23324090</v>
      </c>
      <c r="F16" s="203">
        <f>SUM(F15)</f>
        <v>45219492</v>
      </c>
      <c r="L16" s="22"/>
      <c r="M16" s="22"/>
      <c r="P16" s="330">
        <f>COUNTIF(P6:P14, TRUE)</f>
        <v>9</v>
      </c>
    </row>
    <row r="17" spans="1:194">
      <c r="Q17" s="23"/>
      <c r="R17" s="23"/>
    </row>
    <row r="18" spans="1:194" ht="45.65" customHeight="1">
      <c r="B18" s="90"/>
      <c r="C18" s="143"/>
      <c r="D18" s="26" t="s">
        <v>82</v>
      </c>
      <c r="E18" s="26" t="s">
        <v>82</v>
      </c>
      <c r="F18" s="90"/>
      <c r="I18" s="90"/>
      <c r="J18" s="90"/>
      <c r="K18" s="24"/>
      <c r="N18" s="24"/>
    </row>
    <row r="19" spans="1:194" ht="23.15" customHeight="1">
      <c r="D19" s="204">
        <v>2</v>
      </c>
      <c r="E19" s="204">
        <v>3</v>
      </c>
      <c r="F19" s="204">
        <v>4</v>
      </c>
      <c r="G19" s="204">
        <v>5</v>
      </c>
      <c r="H19" s="204">
        <v>6</v>
      </c>
      <c r="K19" s="24"/>
    </row>
    <row r="20" spans="1:194" s="1" customFormat="1" ht="48" customHeight="1">
      <c r="A20" s="124" t="s">
        <v>58</v>
      </c>
      <c r="B20" s="123" t="s">
        <v>98</v>
      </c>
      <c r="C20" s="123" t="s">
        <v>99</v>
      </c>
      <c r="D20" s="82" t="s">
        <v>100</v>
      </c>
      <c r="E20" s="82" t="s">
        <v>100</v>
      </c>
      <c r="F20" s="82" t="s">
        <v>101</v>
      </c>
      <c r="G20" s="82" t="s">
        <v>101</v>
      </c>
      <c r="H20" s="82" t="s">
        <v>101</v>
      </c>
      <c r="I20" s="123" t="s">
        <v>100</v>
      </c>
      <c r="J20" s="123" t="s">
        <v>100</v>
      </c>
      <c r="K20" s="123" t="s">
        <v>102</v>
      </c>
      <c r="L20" s="123" t="s">
        <v>102</v>
      </c>
      <c r="M20" s="125" t="s">
        <v>103</v>
      </c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7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  <c r="BO20" s="417"/>
      <c r="BP20" s="417"/>
      <c r="BQ20" s="417"/>
      <c r="BR20" s="417"/>
      <c r="BS20" s="417"/>
      <c r="BT20" s="417"/>
      <c r="BU20" s="417"/>
      <c r="BV20" s="417"/>
      <c r="BW20" s="417"/>
      <c r="BX20" s="417"/>
      <c r="BY20" s="417"/>
      <c r="BZ20" s="417"/>
      <c r="CA20" s="417"/>
      <c r="CB20" s="417"/>
      <c r="CC20" s="417"/>
      <c r="CD20" s="417"/>
      <c r="CE20" s="417"/>
      <c r="CF20" s="417"/>
      <c r="CG20" s="417"/>
      <c r="CH20" s="417"/>
      <c r="CI20" s="417"/>
      <c r="CJ20" s="417"/>
      <c r="CK20" s="417"/>
      <c r="CL20" s="417"/>
      <c r="CM20" s="417"/>
      <c r="CN20" s="417"/>
      <c r="CO20" s="417"/>
      <c r="CP20" s="417"/>
      <c r="CQ20" s="417"/>
      <c r="CR20" s="417"/>
      <c r="CS20" s="417"/>
      <c r="CT20" s="417"/>
      <c r="CU20" s="417"/>
      <c r="CV20" s="417"/>
      <c r="CW20" s="417"/>
      <c r="CX20" s="417"/>
      <c r="CY20" s="126"/>
      <c r="CZ20" s="418" t="s">
        <v>104</v>
      </c>
      <c r="DA20" s="418"/>
      <c r="DB20" s="418"/>
      <c r="DC20" s="418"/>
      <c r="DD20" s="418"/>
      <c r="DE20" s="418"/>
      <c r="DF20" s="418"/>
      <c r="DG20" s="418"/>
      <c r="DH20" s="418"/>
      <c r="DI20" s="418"/>
      <c r="DJ20" s="418"/>
      <c r="DK20" s="418"/>
      <c r="DL20" s="418"/>
      <c r="DM20" s="418"/>
      <c r="DN20" s="418"/>
      <c r="DO20" s="418"/>
      <c r="DP20" s="418"/>
      <c r="DQ20" s="418"/>
      <c r="DR20" s="418"/>
      <c r="DS20" s="418"/>
      <c r="DT20" s="418"/>
      <c r="DU20" s="418"/>
      <c r="DV20" s="418"/>
      <c r="DW20" s="418"/>
      <c r="DX20" s="418"/>
      <c r="DY20" s="418"/>
      <c r="DZ20" s="418"/>
      <c r="EA20" s="418"/>
      <c r="EB20" s="418"/>
      <c r="EC20" s="418"/>
      <c r="ED20" s="418"/>
      <c r="EE20" s="418"/>
      <c r="EF20" s="418"/>
      <c r="EG20" s="418"/>
      <c r="EH20" s="418"/>
      <c r="EI20" s="418"/>
      <c r="EJ20" s="418"/>
      <c r="EK20" s="418"/>
      <c r="EL20" s="418"/>
      <c r="EM20" s="418"/>
      <c r="EN20" s="418"/>
      <c r="EO20" s="418"/>
      <c r="EP20" s="418"/>
      <c r="EQ20" s="418"/>
      <c r="ER20" s="418"/>
      <c r="ES20" s="418"/>
      <c r="ET20" s="418"/>
      <c r="EU20" s="418"/>
      <c r="EV20" s="418"/>
      <c r="EW20" s="418"/>
      <c r="EX20" s="418"/>
      <c r="EY20" s="418"/>
      <c r="EZ20" s="418"/>
      <c r="FA20" s="418"/>
      <c r="FB20" s="418"/>
      <c r="FC20" s="418"/>
      <c r="FD20" s="418"/>
      <c r="FE20" s="418"/>
      <c r="FF20" s="418"/>
      <c r="FG20" s="418"/>
      <c r="FH20" s="418"/>
      <c r="FI20" s="418"/>
      <c r="FJ20" s="418"/>
      <c r="FK20" s="418"/>
      <c r="FL20" s="418"/>
      <c r="FM20" s="418"/>
      <c r="FN20" s="418"/>
      <c r="FO20" s="418"/>
      <c r="FP20" s="418"/>
      <c r="FQ20" s="418"/>
      <c r="FR20" s="418"/>
      <c r="FS20" s="418"/>
      <c r="FT20" s="418"/>
      <c r="FU20" s="418"/>
      <c r="FV20" s="418"/>
      <c r="FW20" s="418"/>
      <c r="FX20" s="418"/>
      <c r="FY20" s="418"/>
      <c r="FZ20" s="418"/>
      <c r="GA20" s="418"/>
      <c r="GB20" s="418"/>
      <c r="GC20" s="418"/>
      <c r="GD20" s="418"/>
      <c r="GE20" s="418"/>
      <c r="GF20" s="418"/>
      <c r="GG20" s="418"/>
      <c r="GH20" s="418"/>
      <c r="GI20" s="418"/>
      <c r="GJ20" s="418"/>
      <c r="GK20" s="418"/>
      <c r="GL20" s="122"/>
    </row>
    <row r="21" spans="1:194" s="8" customFormat="1" ht="28">
      <c r="A21" s="124"/>
      <c r="B21" s="123"/>
      <c r="C21" s="123"/>
      <c r="D21" s="25" t="s">
        <v>88</v>
      </c>
      <c r="E21" s="26" t="s">
        <v>89</v>
      </c>
      <c r="F21" s="82" t="s">
        <v>105</v>
      </c>
      <c r="G21" s="81" t="s">
        <v>103</v>
      </c>
      <c r="H21" s="81" t="s">
        <v>104</v>
      </c>
      <c r="I21" s="82" t="s">
        <v>103</v>
      </c>
      <c r="J21" s="81" t="s">
        <v>104</v>
      </c>
      <c r="K21" s="82" t="s">
        <v>103</v>
      </c>
      <c r="L21" s="27" t="s">
        <v>104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106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106</v>
      </c>
    </row>
    <row r="22" spans="1:194" s="1" customFormat="1">
      <c r="A22" s="30"/>
      <c r="B22" s="72"/>
      <c r="C22" s="60"/>
      <c r="D22" s="78"/>
      <c r="E22" s="78"/>
      <c r="F22" s="419"/>
      <c r="G22" s="419"/>
      <c r="H22" s="78"/>
      <c r="I22" s="78"/>
      <c r="J22" s="78"/>
      <c r="K22" s="419"/>
      <c r="L22" s="78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19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419"/>
      <c r="AU22" s="419"/>
      <c r="AV22" s="419"/>
      <c r="AW22" s="419"/>
      <c r="AX22" s="419"/>
      <c r="AY22" s="419"/>
      <c r="AZ22" s="419"/>
      <c r="BA22" s="419"/>
      <c r="BB22" s="419"/>
      <c r="BC22" s="419"/>
      <c r="BD22" s="419"/>
      <c r="BE22" s="419"/>
      <c r="BF22" s="419"/>
      <c r="BG22" s="419"/>
      <c r="BH22" s="419"/>
      <c r="BI22" s="419"/>
      <c r="BJ22" s="419"/>
      <c r="BK22" s="419"/>
      <c r="BL22" s="419"/>
      <c r="BM22" s="419"/>
      <c r="BN22" s="419"/>
      <c r="BO22" s="419"/>
      <c r="BP22" s="419"/>
      <c r="BQ22" s="419"/>
      <c r="BR22" s="419"/>
      <c r="BS22" s="419"/>
      <c r="BT22" s="419"/>
      <c r="BU22" s="419"/>
      <c r="BV22" s="419"/>
      <c r="BW22" s="419"/>
      <c r="BX22" s="419"/>
      <c r="BY22" s="419"/>
      <c r="BZ22" s="419"/>
      <c r="CA22" s="419"/>
      <c r="CB22" s="419"/>
      <c r="CC22" s="419"/>
      <c r="CD22" s="419"/>
      <c r="CE22" s="419"/>
      <c r="CF22" s="419"/>
      <c r="CG22" s="419"/>
      <c r="CH22" s="419"/>
      <c r="CI22" s="419"/>
      <c r="CJ22" s="419"/>
      <c r="CK22" s="419"/>
      <c r="CL22" s="419"/>
      <c r="CM22" s="419"/>
      <c r="CN22" s="419"/>
      <c r="CO22" s="419"/>
      <c r="CP22" s="419"/>
      <c r="CQ22" s="419"/>
      <c r="CR22" s="419"/>
      <c r="CS22" s="419"/>
      <c r="CT22" s="419"/>
      <c r="CU22" s="419"/>
      <c r="CV22" s="419"/>
      <c r="CW22" s="419"/>
      <c r="CX22" s="419"/>
      <c r="CY22" s="78"/>
      <c r="CZ22" s="419"/>
      <c r="DA22" s="419"/>
      <c r="DB22" s="419"/>
      <c r="DC22" s="419"/>
      <c r="DD22" s="419"/>
      <c r="DE22" s="419"/>
      <c r="DF22" s="419"/>
      <c r="DG22" s="419"/>
      <c r="DH22" s="419"/>
      <c r="DI22" s="419"/>
      <c r="DJ22" s="419"/>
      <c r="DK22" s="419"/>
      <c r="DL22" s="419"/>
      <c r="DM22" s="419"/>
      <c r="DN22" s="419"/>
      <c r="DO22" s="419"/>
      <c r="DP22" s="419"/>
      <c r="DQ22" s="419"/>
      <c r="DR22" s="419"/>
      <c r="DS22" s="419"/>
      <c r="DT22" s="419"/>
      <c r="DU22" s="419"/>
      <c r="DV22" s="419"/>
      <c r="DW22" s="419"/>
      <c r="DX22" s="419"/>
      <c r="DY22" s="419"/>
      <c r="DZ22" s="419"/>
      <c r="EA22" s="419"/>
      <c r="EB22" s="419"/>
      <c r="EC22" s="419"/>
      <c r="ED22" s="419"/>
      <c r="EE22" s="419"/>
      <c r="EF22" s="419"/>
      <c r="EG22" s="419"/>
      <c r="EH22" s="419"/>
      <c r="EI22" s="419"/>
      <c r="EJ22" s="419"/>
      <c r="EK22" s="419"/>
      <c r="EL22" s="419"/>
      <c r="EM22" s="419"/>
      <c r="EN22" s="419"/>
      <c r="EO22" s="419"/>
      <c r="EP22" s="419"/>
      <c r="EQ22" s="419"/>
      <c r="ER22" s="419"/>
      <c r="ES22" s="419"/>
      <c r="ET22" s="419"/>
      <c r="EU22" s="419"/>
      <c r="EV22" s="419"/>
      <c r="EW22" s="419"/>
      <c r="EX22" s="419"/>
      <c r="EY22" s="419"/>
      <c r="EZ22" s="419"/>
      <c r="FA22" s="419"/>
      <c r="FB22" s="419"/>
      <c r="FC22" s="419"/>
      <c r="FD22" s="419"/>
      <c r="FE22" s="419"/>
      <c r="FF22" s="419"/>
      <c r="FG22" s="419"/>
      <c r="FH22" s="419"/>
      <c r="FI22" s="419"/>
      <c r="FJ22" s="419"/>
      <c r="FK22" s="419"/>
      <c r="FL22" s="419"/>
      <c r="FM22" s="419"/>
      <c r="FN22" s="419"/>
      <c r="FO22" s="419"/>
      <c r="FP22" s="419"/>
      <c r="FQ22" s="419"/>
      <c r="FR22" s="419"/>
      <c r="FS22" s="419"/>
      <c r="FT22" s="419"/>
      <c r="FU22" s="419"/>
      <c r="FV22" s="419"/>
      <c r="FW22" s="419"/>
      <c r="FX22" s="419"/>
      <c r="FY22" s="419"/>
      <c r="FZ22" s="419"/>
      <c r="GA22" s="419"/>
      <c r="GB22" s="419"/>
      <c r="GC22" s="419"/>
      <c r="GD22" s="419"/>
      <c r="GE22" s="419"/>
      <c r="GF22" s="419"/>
      <c r="GG22" s="419"/>
      <c r="GH22" s="419"/>
      <c r="GI22" s="419"/>
      <c r="GJ22" s="419"/>
      <c r="GK22" s="419"/>
      <c r="GL22" s="78"/>
    </row>
    <row r="23" spans="1:194" s="70" customFormat="1" ht="21.75" customHeight="1">
      <c r="A23" s="65" t="s">
        <v>56</v>
      </c>
      <c r="B23" s="66" t="s">
        <v>56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>
      <c r="A25" s="74" t="s">
        <v>66</v>
      </c>
      <c r="B25" s="461" t="s">
        <v>107</v>
      </c>
      <c r="C25" s="75" t="s">
        <v>108</v>
      </c>
      <c r="D25" s="77">
        <f t="shared" ref="D25:E27" si="3">I25</f>
        <v>21895402</v>
      </c>
      <c r="E25" s="77">
        <f t="shared" si="3"/>
        <v>23324090</v>
      </c>
      <c r="F25" s="420">
        <f>G25+H25</f>
        <v>57106398</v>
      </c>
      <c r="G25" s="420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421">
        <f>SUM(M25:AD25)</f>
        <v>6087888</v>
      </c>
      <c r="L25" s="77">
        <f>SUM(CZ25:DQ25)</f>
        <v>5799018</v>
      </c>
      <c r="M25" s="420">
        <v>305120</v>
      </c>
      <c r="N25" s="420">
        <v>303019</v>
      </c>
      <c r="O25" s="420">
        <v>314737</v>
      </c>
      <c r="P25" s="420">
        <v>321299</v>
      </c>
      <c r="Q25" s="420">
        <v>325230</v>
      </c>
      <c r="R25" s="420">
        <v>333023</v>
      </c>
      <c r="S25" s="420">
        <v>343154</v>
      </c>
      <c r="T25" s="420">
        <v>339729</v>
      </c>
      <c r="U25" s="420">
        <v>341966</v>
      </c>
      <c r="V25" s="420">
        <v>351482</v>
      </c>
      <c r="W25" s="420">
        <v>360539</v>
      </c>
      <c r="X25" s="420">
        <v>361688</v>
      </c>
      <c r="Y25" s="420">
        <v>356777</v>
      </c>
      <c r="Z25" s="420">
        <v>354079</v>
      </c>
      <c r="AA25" s="420">
        <v>357199</v>
      </c>
      <c r="AB25" s="420">
        <v>344190</v>
      </c>
      <c r="AC25" s="420">
        <v>336612</v>
      </c>
      <c r="AD25" s="420">
        <v>338045</v>
      </c>
      <c r="AE25" s="420">
        <v>339142</v>
      </c>
      <c r="AF25" s="420">
        <v>339234</v>
      </c>
      <c r="AG25" s="420">
        <v>338398</v>
      </c>
      <c r="AH25" s="420">
        <v>338465</v>
      </c>
      <c r="AI25" s="420">
        <v>345338</v>
      </c>
      <c r="AJ25" s="420">
        <v>358287</v>
      </c>
      <c r="AK25" s="420">
        <v>360304</v>
      </c>
      <c r="AL25" s="420">
        <v>365799</v>
      </c>
      <c r="AM25" s="420">
        <v>360324</v>
      </c>
      <c r="AN25" s="420">
        <v>364086</v>
      </c>
      <c r="AO25" s="420">
        <v>372653</v>
      </c>
      <c r="AP25" s="420">
        <v>372807</v>
      </c>
      <c r="AQ25" s="420">
        <v>383710</v>
      </c>
      <c r="AR25" s="420">
        <v>389563</v>
      </c>
      <c r="AS25" s="420">
        <v>387640</v>
      </c>
      <c r="AT25" s="420">
        <v>384620</v>
      </c>
      <c r="AU25" s="420">
        <v>387905</v>
      </c>
      <c r="AV25" s="420">
        <v>378829</v>
      </c>
      <c r="AW25" s="420">
        <v>378199</v>
      </c>
      <c r="AX25" s="420">
        <v>377186</v>
      </c>
      <c r="AY25" s="420">
        <v>365502</v>
      </c>
      <c r="AZ25" s="420">
        <v>366111</v>
      </c>
      <c r="BA25" s="420">
        <v>365728</v>
      </c>
      <c r="BB25" s="420">
        <v>369097</v>
      </c>
      <c r="BC25" s="420">
        <v>371802</v>
      </c>
      <c r="BD25" s="420">
        <v>357560</v>
      </c>
      <c r="BE25" s="420">
        <v>334069</v>
      </c>
      <c r="BF25" s="420">
        <v>328458</v>
      </c>
      <c r="BG25" s="420">
        <v>335746</v>
      </c>
      <c r="BH25" s="420">
        <v>342585</v>
      </c>
      <c r="BI25" s="420">
        <v>346685</v>
      </c>
      <c r="BJ25" s="420">
        <v>360442</v>
      </c>
      <c r="BK25" s="420">
        <v>373390</v>
      </c>
      <c r="BL25" s="420">
        <v>385375</v>
      </c>
      <c r="BM25" s="420">
        <v>375807</v>
      </c>
      <c r="BN25" s="420">
        <v>383988</v>
      </c>
      <c r="BO25" s="420">
        <v>382566</v>
      </c>
      <c r="BP25" s="420">
        <v>385629</v>
      </c>
      <c r="BQ25" s="420">
        <v>381742</v>
      </c>
      <c r="BR25" s="420">
        <v>381998</v>
      </c>
      <c r="BS25" s="420">
        <v>376164</v>
      </c>
      <c r="BT25" s="420">
        <v>367036</v>
      </c>
      <c r="BU25" s="420">
        <v>357672</v>
      </c>
      <c r="BV25" s="420">
        <v>344928</v>
      </c>
      <c r="BW25" s="420">
        <v>329857</v>
      </c>
      <c r="BX25" s="420">
        <v>319451</v>
      </c>
      <c r="BY25" s="420">
        <v>309724</v>
      </c>
      <c r="BZ25" s="420">
        <v>294558</v>
      </c>
      <c r="CA25" s="420">
        <v>282293</v>
      </c>
      <c r="CB25" s="420">
        <v>268536</v>
      </c>
      <c r="CC25" s="420">
        <v>266443</v>
      </c>
      <c r="CD25" s="420">
        <v>260410</v>
      </c>
      <c r="CE25" s="420">
        <v>249450</v>
      </c>
      <c r="CF25" s="420">
        <v>249080</v>
      </c>
      <c r="CG25" s="420">
        <v>249070</v>
      </c>
      <c r="CH25" s="420">
        <v>252982</v>
      </c>
      <c r="CI25" s="420">
        <v>263625</v>
      </c>
      <c r="CJ25" s="420">
        <v>283090</v>
      </c>
      <c r="CK25" s="420">
        <v>211587</v>
      </c>
      <c r="CL25" s="420">
        <v>200401</v>
      </c>
      <c r="CM25" s="420">
        <v>195036</v>
      </c>
      <c r="CN25" s="420">
        <v>174093</v>
      </c>
      <c r="CO25" s="420">
        <v>149572</v>
      </c>
      <c r="CP25" s="420">
        <v>127665</v>
      </c>
      <c r="CQ25" s="420">
        <v>127183</v>
      </c>
      <c r="CR25" s="420">
        <v>120061</v>
      </c>
      <c r="CS25" s="420">
        <v>109873</v>
      </c>
      <c r="CT25" s="420">
        <v>97456</v>
      </c>
      <c r="CU25" s="420">
        <v>84705</v>
      </c>
      <c r="CV25" s="420">
        <v>73428</v>
      </c>
      <c r="CW25" s="420">
        <v>60864</v>
      </c>
      <c r="CX25" s="420">
        <v>51376</v>
      </c>
      <c r="CY25" s="420">
        <v>170964</v>
      </c>
      <c r="CZ25" s="420">
        <v>291186</v>
      </c>
      <c r="DA25" s="420">
        <v>289546</v>
      </c>
      <c r="DB25" s="420">
        <v>300800</v>
      </c>
      <c r="DC25" s="420">
        <v>305906</v>
      </c>
      <c r="DD25" s="420">
        <v>310539</v>
      </c>
      <c r="DE25" s="420">
        <v>318263</v>
      </c>
      <c r="DF25" s="420">
        <v>326932</v>
      </c>
      <c r="DG25" s="420">
        <v>324633</v>
      </c>
      <c r="DH25" s="420">
        <v>326780</v>
      </c>
      <c r="DI25" s="420">
        <v>334543</v>
      </c>
      <c r="DJ25" s="420">
        <v>344341</v>
      </c>
      <c r="DK25" s="420">
        <v>343967</v>
      </c>
      <c r="DL25" s="420">
        <v>339949</v>
      </c>
      <c r="DM25" s="420">
        <v>337345</v>
      </c>
      <c r="DN25" s="420">
        <v>340474</v>
      </c>
      <c r="DO25" s="420">
        <v>326885</v>
      </c>
      <c r="DP25" s="420">
        <v>319023</v>
      </c>
      <c r="DQ25" s="420">
        <v>317906</v>
      </c>
      <c r="DR25" s="420">
        <v>318297</v>
      </c>
      <c r="DS25" s="420">
        <v>319325</v>
      </c>
      <c r="DT25" s="420">
        <v>325075</v>
      </c>
      <c r="DU25" s="420">
        <v>327194</v>
      </c>
      <c r="DV25" s="420">
        <v>333614</v>
      </c>
      <c r="DW25" s="420">
        <v>350669</v>
      </c>
      <c r="DX25" s="420">
        <v>358581</v>
      </c>
      <c r="DY25" s="420">
        <v>367839</v>
      </c>
      <c r="DZ25" s="420">
        <v>363988</v>
      </c>
      <c r="EA25" s="420">
        <v>374022</v>
      </c>
      <c r="EB25" s="420">
        <v>387522</v>
      </c>
      <c r="EC25" s="420">
        <v>390671</v>
      </c>
      <c r="ED25" s="420">
        <v>404331</v>
      </c>
      <c r="EE25" s="420">
        <v>410921</v>
      </c>
      <c r="EF25" s="420">
        <v>413176</v>
      </c>
      <c r="EG25" s="420">
        <v>411450</v>
      </c>
      <c r="EH25" s="420">
        <v>417983</v>
      </c>
      <c r="EI25" s="420">
        <v>409203</v>
      </c>
      <c r="EJ25" s="420">
        <v>404000</v>
      </c>
      <c r="EK25" s="420">
        <v>401928</v>
      </c>
      <c r="EL25" s="420">
        <v>389436</v>
      </c>
      <c r="EM25" s="420">
        <v>389518</v>
      </c>
      <c r="EN25" s="420">
        <v>386124</v>
      </c>
      <c r="EO25" s="420">
        <v>390735</v>
      </c>
      <c r="EP25" s="420">
        <v>390956</v>
      </c>
      <c r="EQ25" s="420">
        <v>373536</v>
      </c>
      <c r="ER25" s="420">
        <v>346385</v>
      </c>
      <c r="ES25" s="420">
        <v>339293</v>
      </c>
      <c r="ET25" s="420">
        <v>345871</v>
      </c>
      <c r="EU25" s="420">
        <v>353016</v>
      </c>
      <c r="EV25" s="420">
        <v>356906</v>
      </c>
      <c r="EW25" s="420">
        <v>370244</v>
      </c>
      <c r="EX25" s="420">
        <v>384214</v>
      </c>
      <c r="EY25" s="420">
        <v>399644</v>
      </c>
      <c r="EZ25" s="420">
        <v>389031</v>
      </c>
      <c r="FA25" s="420">
        <v>397139</v>
      </c>
      <c r="FB25" s="420">
        <v>395547</v>
      </c>
      <c r="FC25" s="420">
        <v>396676</v>
      </c>
      <c r="FD25" s="420">
        <v>396578</v>
      </c>
      <c r="FE25" s="420">
        <v>396708</v>
      </c>
      <c r="FF25" s="420">
        <v>390539</v>
      </c>
      <c r="FG25" s="420">
        <v>380695</v>
      </c>
      <c r="FH25" s="420">
        <v>371143</v>
      </c>
      <c r="FI25" s="420">
        <v>355407</v>
      </c>
      <c r="FJ25" s="420">
        <v>340408</v>
      </c>
      <c r="FK25" s="420">
        <v>331322</v>
      </c>
      <c r="FL25" s="420">
        <v>321164</v>
      </c>
      <c r="FM25" s="420">
        <v>308551</v>
      </c>
      <c r="FN25" s="420">
        <v>295719</v>
      </c>
      <c r="FO25" s="420">
        <v>284931</v>
      </c>
      <c r="FP25" s="420">
        <v>285437</v>
      </c>
      <c r="FQ25" s="420">
        <v>278929</v>
      </c>
      <c r="FR25" s="420">
        <v>271460</v>
      </c>
      <c r="FS25" s="420">
        <v>271487</v>
      </c>
      <c r="FT25" s="420">
        <v>275610</v>
      </c>
      <c r="FU25" s="420">
        <v>280129</v>
      </c>
      <c r="FV25" s="420">
        <v>294843</v>
      </c>
      <c r="FW25" s="420">
        <v>316380</v>
      </c>
      <c r="FX25" s="420">
        <v>240292</v>
      </c>
      <c r="FY25" s="420">
        <v>230370</v>
      </c>
      <c r="FZ25" s="420">
        <v>225985</v>
      </c>
      <c r="GA25" s="420">
        <v>206546</v>
      </c>
      <c r="GB25" s="420">
        <v>181398</v>
      </c>
      <c r="GC25" s="420">
        <v>159103</v>
      </c>
      <c r="GD25" s="420">
        <v>161482</v>
      </c>
      <c r="GE25" s="420">
        <v>155577</v>
      </c>
      <c r="GF25" s="420">
        <v>145759</v>
      </c>
      <c r="GG25" s="420">
        <v>132931</v>
      </c>
      <c r="GH25" s="420">
        <v>120255</v>
      </c>
      <c r="GI25" s="420">
        <v>107758</v>
      </c>
      <c r="GJ25" s="420">
        <v>93505</v>
      </c>
      <c r="GK25" s="420">
        <v>82264</v>
      </c>
      <c r="GL25" s="420">
        <v>349365</v>
      </c>
    </row>
    <row r="26" spans="1:194" s="8" customFormat="1">
      <c r="A26" s="32" t="s">
        <v>66</v>
      </c>
      <c r="B26" s="462" t="s">
        <v>109</v>
      </c>
      <c r="C26" s="33" t="s">
        <v>110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>
      <c r="A27" s="38" t="s">
        <v>66</v>
      </c>
      <c r="B27" s="463" t="s">
        <v>111</v>
      </c>
      <c r="C27" s="39" t="s">
        <v>112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>
      <c r="A28" s="44"/>
      <c r="B28" s="464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>
      <c r="A29" s="83" t="s">
        <v>93</v>
      </c>
      <c r="B29" s="465" t="s">
        <v>113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422">
        <f>G29+H29</f>
        <v>246482</v>
      </c>
      <c r="G29" s="422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423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>
      <c r="A30" s="87" t="s">
        <v>93</v>
      </c>
      <c r="B30" s="465" t="s">
        <v>114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>
      <c r="A31" s="87" t="s">
        <v>93</v>
      </c>
      <c r="B31" s="465" t="s">
        <v>115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>
      <c r="A32" s="87" t="s">
        <v>93</v>
      </c>
      <c r="B32" s="465" t="s">
        <v>116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>
      <c r="A33" s="87" t="s">
        <v>93</v>
      </c>
      <c r="B33" s="465" t="s">
        <v>117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>
      <c r="A34" s="87" t="s">
        <v>93</v>
      </c>
      <c r="B34" s="465" t="s">
        <v>118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>
      <c r="A35" s="87" t="s">
        <v>93</v>
      </c>
      <c r="B35" s="465" t="s">
        <v>119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>
      <c r="A36" s="87" t="s">
        <v>93</v>
      </c>
      <c r="B36" s="465" t="s">
        <v>120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>
      <c r="A37" s="87" t="s">
        <v>93</v>
      </c>
      <c r="B37" s="465" t="s">
        <v>121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>
      <c r="A38" s="87" t="s">
        <v>93</v>
      </c>
      <c r="B38" s="465" t="s">
        <v>122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>
      <c r="A39" s="87" t="s">
        <v>93</v>
      </c>
      <c r="B39" s="465" t="s">
        <v>123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>
      <c r="A40" s="87" t="s">
        <v>93</v>
      </c>
      <c r="B40" s="465" t="s">
        <v>124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>
      <c r="A41" s="87" t="s">
        <v>93</v>
      </c>
      <c r="B41" s="465" t="s">
        <v>125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>
      <c r="A42" s="87" t="s">
        <v>93</v>
      </c>
      <c r="B42" s="465" t="s">
        <v>126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>
      <c r="A43" s="87" t="s">
        <v>93</v>
      </c>
      <c r="B43" s="465" t="s">
        <v>127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>
      <c r="A44" s="87" t="s">
        <v>93</v>
      </c>
      <c r="B44" s="465" t="s">
        <v>128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>
      <c r="A45" s="87" t="s">
        <v>93</v>
      </c>
      <c r="B45" s="465" t="s">
        <v>129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>
      <c r="A46" s="87" t="s">
        <v>93</v>
      </c>
      <c r="B46" s="465" t="s">
        <v>130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>
      <c r="A47" s="87" t="s">
        <v>93</v>
      </c>
      <c r="B47" s="465" t="s">
        <v>131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>
      <c r="A48" s="87" t="s">
        <v>93</v>
      </c>
      <c r="B48" s="465" t="s">
        <v>132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>
      <c r="A49" s="87" t="s">
        <v>93</v>
      </c>
      <c r="B49" s="465" t="s">
        <v>133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>
      <c r="A50" s="87" t="s">
        <v>93</v>
      </c>
      <c r="B50" s="465" t="s">
        <v>134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>
      <c r="A51" s="87" t="s">
        <v>93</v>
      </c>
      <c r="B51" s="465" t="s">
        <v>135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>
      <c r="A52" s="87" t="s">
        <v>93</v>
      </c>
      <c r="B52" s="465" t="s">
        <v>136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>
      <c r="A53" s="87" t="s">
        <v>93</v>
      </c>
      <c r="B53" s="465" t="s">
        <v>137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>
      <c r="A54" s="87" t="s">
        <v>93</v>
      </c>
      <c r="B54" s="465" t="s">
        <v>138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>
      <c r="A55" s="87" t="s">
        <v>93</v>
      </c>
      <c r="B55" s="465" t="s">
        <v>139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>
      <c r="A56" s="87" t="s">
        <v>93</v>
      </c>
      <c r="B56" s="465" t="s">
        <v>140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>
      <c r="A57" s="87" t="s">
        <v>93</v>
      </c>
      <c r="B57" s="465" t="s">
        <v>141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>
      <c r="A58" s="87" t="s">
        <v>93</v>
      </c>
      <c r="B58" s="465" t="s">
        <v>142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>
      <c r="A59" s="87" t="s">
        <v>93</v>
      </c>
      <c r="B59" s="465" t="s">
        <v>143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>
      <c r="A60" s="87" t="s">
        <v>93</v>
      </c>
      <c r="B60" s="465" t="s">
        <v>144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>
      <c r="A61" s="87" t="s">
        <v>93</v>
      </c>
      <c r="B61" s="465" t="s">
        <v>145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>
      <c r="A62" s="87" t="s">
        <v>93</v>
      </c>
      <c r="B62" s="465" t="s">
        <v>146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>
      <c r="A63" s="87" t="s">
        <v>93</v>
      </c>
      <c r="B63" s="465" t="s">
        <v>147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>
      <c r="A64" s="87" t="s">
        <v>93</v>
      </c>
      <c r="B64" s="465" t="s">
        <v>148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>
      <c r="A65" s="87" t="s">
        <v>93</v>
      </c>
      <c r="B65" s="465" t="s">
        <v>149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>
      <c r="A66" s="87" t="s">
        <v>93</v>
      </c>
      <c r="B66" s="465" t="s">
        <v>150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>
      <c r="A67" s="87" t="s">
        <v>93</v>
      </c>
      <c r="B67" s="465" t="s">
        <v>151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>
      <c r="A68" s="87" t="s">
        <v>93</v>
      </c>
      <c r="B68" s="465" t="s">
        <v>152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>
      <c r="A69" s="87" t="s">
        <v>93</v>
      </c>
      <c r="B69" s="465" t="s">
        <v>153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>
      <c r="A70" s="87" t="s">
        <v>93</v>
      </c>
      <c r="B70" s="465" t="s">
        <v>154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>
      <c r="A71" s="87" t="s">
        <v>93</v>
      </c>
      <c r="B71" s="465" t="s">
        <v>155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>
      <c r="A72" s="87" t="s">
        <v>93</v>
      </c>
      <c r="B72" s="465" t="s">
        <v>156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>
      <c r="A73" s="87" t="s">
        <v>93</v>
      </c>
      <c r="B73" s="465" t="s">
        <v>157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>
      <c r="A74" s="87" t="s">
        <v>93</v>
      </c>
      <c r="B74" s="465" t="s">
        <v>158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>
      <c r="A75" s="87" t="s">
        <v>93</v>
      </c>
      <c r="B75" s="465" t="s">
        <v>159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>
      <c r="A76" s="87" t="s">
        <v>93</v>
      </c>
      <c r="B76" s="465" t="s">
        <v>160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>
      <c r="A77" s="87" t="s">
        <v>93</v>
      </c>
      <c r="B77" s="465" t="s">
        <v>161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>
      <c r="A78" s="87" t="s">
        <v>93</v>
      </c>
      <c r="B78" s="465" t="s">
        <v>162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>
      <c r="A79" s="87" t="s">
        <v>93</v>
      </c>
      <c r="B79" s="465" t="s">
        <v>163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>
      <c r="A80" s="87" t="s">
        <v>93</v>
      </c>
      <c r="B80" s="465" t="s">
        <v>164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>
      <c r="A81" s="87" t="s">
        <v>93</v>
      </c>
      <c r="B81" s="465" t="s">
        <v>165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>
      <c r="A82" s="87" t="s">
        <v>93</v>
      </c>
      <c r="B82" s="465" t="s">
        <v>166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>
      <c r="A83" s="87" t="s">
        <v>93</v>
      </c>
      <c r="B83" s="465" t="s">
        <v>167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>
      <c r="A84" s="87" t="s">
        <v>93</v>
      </c>
      <c r="B84" s="465" t="s">
        <v>168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>
      <c r="A85" s="87" t="s">
        <v>93</v>
      </c>
      <c r="B85" s="465" t="s">
        <v>169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>
      <c r="A86" s="87" t="s">
        <v>93</v>
      </c>
      <c r="B86" s="465" t="s">
        <v>170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>
      <c r="A87" s="87" t="s">
        <v>93</v>
      </c>
      <c r="B87" s="465" t="s">
        <v>171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>
      <c r="A88" s="87" t="s">
        <v>93</v>
      </c>
      <c r="B88" s="465" t="s">
        <v>172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>
      <c r="A89" s="87" t="s">
        <v>93</v>
      </c>
      <c r="B89" s="465" t="s">
        <v>173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>
      <c r="A90" s="87" t="s">
        <v>93</v>
      </c>
      <c r="B90" s="465" t="s">
        <v>174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>
      <c r="A91" s="87" t="s">
        <v>93</v>
      </c>
      <c r="B91" s="465" t="s">
        <v>175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>
      <c r="A92" s="87" t="s">
        <v>93</v>
      </c>
      <c r="B92" s="465" t="s">
        <v>176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>
      <c r="A93" s="87" t="s">
        <v>93</v>
      </c>
      <c r="B93" s="465" t="s">
        <v>177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>
      <c r="A94" s="87" t="s">
        <v>93</v>
      </c>
      <c r="B94" s="465" t="s">
        <v>178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>
      <c r="A95" s="87" t="s">
        <v>93</v>
      </c>
      <c r="B95" s="465" t="s">
        <v>179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>
      <c r="A96" s="87" t="s">
        <v>93</v>
      </c>
      <c r="B96" s="465" t="s">
        <v>180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>
      <c r="A97" s="87" t="s">
        <v>93</v>
      </c>
      <c r="B97" s="465" t="s">
        <v>181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>
      <c r="A98" s="87" t="s">
        <v>93</v>
      </c>
      <c r="B98" s="465" t="s">
        <v>182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>
      <c r="A99" s="87" t="s">
        <v>93</v>
      </c>
      <c r="B99" s="465" t="s">
        <v>183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>
      <c r="A100" s="87" t="s">
        <v>93</v>
      </c>
      <c r="B100" s="465" t="s">
        <v>184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>
      <c r="A101" s="87" t="s">
        <v>93</v>
      </c>
      <c r="B101" s="465" t="s">
        <v>185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>
      <c r="A102" s="87" t="s">
        <v>93</v>
      </c>
      <c r="B102" s="465" t="s">
        <v>186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>
      <c r="A103" s="87" t="s">
        <v>93</v>
      </c>
      <c r="B103" s="465" t="s">
        <v>187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>
      <c r="A104" s="87" t="s">
        <v>93</v>
      </c>
      <c r="B104" s="465" t="s">
        <v>188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>
      <c r="A105" s="87" t="s">
        <v>93</v>
      </c>
      <c r="B105" s="465" t="s">
        <v>189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>
      <c r="A106" s="87" t="s">
        <v>93</v>
      </c>
      <c r="B106" s="465" t="s">
        <v>190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>
      <c r="A107" s="87" t="s">
        <v>93</v>
      </c>
      <c r="B107" s="465" t="s">
        <v>191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>
      <c r="A108" s="87" t="s">
        <v>93</v>
      </c>
      <c r="B108" s="465" t="s">
        <v>192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>
      <c r="A109" s="87" t="s">
        <v>93</v>
      </c>
      <c r="B109" s="465" t="s">
        <v>193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>
      <c r="A110" s="87" t="s">
        <v>93</v>
      </c>
      <c r="B110" s="465" t="s">
        <v>194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>
      <c r="A111" s="87" t="s">
        <v>93</v>
      </c>
      <c r="B111" s="465" t="s">
        <v>195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>
      <c r="A112" s="87" t="s">
        <v>93</v>
      </c>
      <c r="B112" s="465" t="s">
        <v>196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>
      <c r="A113" s="87" t="s">
        <v>93</v>
      </c>
      <c r="B113" s="465" t="s">
        <v>197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>
      <c r="A114" s="87" t="s">
        <v>93</v>
      </c>
      <c r="B114" s="465" t="s">
        <v>198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>
      <c r="A115" s="87" t="s">
        <v>93</v>
      </c>
      <c r="B115" s="465" t="s">
        <v>199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>
      <c r="A116" s="87" t="s">
        <v>93</v>
      </c>
      <c r="B116" s="465" t="s">
        <v>200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>
      <c r="A117" s="87" t="s">
        <v>93</v>
      </c>
      <c r="B117" s="465" t="s">
        <v>201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>
      <c r="A118" s="87" t="s">
        <v>93</v>
      </c>
      <c r="B118" s="465" t="s">
        <v>202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>
      <c r="A119" s="87" t="s">
        <v>93</v>
      </c>
      <c r="B119" s="465" t="s">
        <v>203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>
      <c r="A120" s="87" t="s">
        <v>93</v>
      </c>
      <c r="B120" s="465" t="s">
        <v>204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>
      <c r="A121" s="87" t="s">
        <v>93</v>
      </c>
      <c r="B121" s="465" t="s">
        <v>205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>
      <c r="A122" s="87" t="s">
        <v>93</v>
      </c>
      <c r="B122" s="465" t="s">
        <v>206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>
      <c r="A123" s="87" t="s">
        <v>93</v>
      </c>
      <c r="B123" s="465" t="s">
        <v>207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>
      <c r="A124" s="87" t="s">
        <v>93</v>
      </c>
      <c r="B124" s="465" t="s">
        <v>208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>
      <c r="A125" s="87" t="s">
        <v>93</v>
      </c>
      <c r="B125" s="465" t="s">
        <v>209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>
      <c r="A126" s="87" t="s">
        <v>93</v>
      </c>
      <c r="B126" s="465" t="s">
        <v>210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>
      <c r="A127" s="87" t="s">
        <v>93</v>
      </c>
      <c r="B127" s="465" t="s">
        <v>211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>
      <c r="A128" s="87" t="s">
        <v>93</v>
      </c>
      <c r="B128" s="465" t="s">
        <v>212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>
      <c r="A129" s="87" t="s">
        <v>93</v>
      </c>
      <c r="B129" s="465" t="s">
        <v>213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>
      <c r="A130" s="87" t="s">
        <v>93</v>
      </c>
      <c r="B130" s="465" t="s">
        <v>214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>
      <c r="A131" s="87" t="s">
        <v>93</v>
      </c>
      <c r="B131" s="465" t="s">
        <v>215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>
      <c r="A132" s="87" t="s">
        <v>93</v>
      </c>
      <c r="B132" s="465" t="s">
        <v>216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>
      <c r="A133" s="87" t="s">
        <v>93</v>
      </c>
      <c r="B133" s="465" t="s">
        <v>217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>
      <c r="A134" s="87" t="s">
        <v>93</v>
      </c>
      <c r="B134" s="465" t="s">
        <v>218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>
      <c r="A135" s="113"/>
      <c r="B135" s="466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>
      <c r="A136" s="54" t="s">
        <v>72</v>
      </c>
      <c r="B136" s="467" t="s">
        <v>219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>
      <c r="A137" s="54" t="s">
        <v>72</v>
      </c>
      <c r="B137" s="468" t="s">
        <v>220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>
      <c r="A138" s="54" t="s">
        <v>72</v>
      </c>
      <c r="B138" s="468" t="s">
        <v>221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>
      <c r="A139" s="54" t="s">
        <v>72</v>
      </c>
      <c r="B139" s="468" t="s">
        <v>222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>
      <c r="A140" s="54" t="s">
        <v>72</v>
      </c>
      <c r="B140" s="468" t="s">
        <v>223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>
      <c r="A141" s="54" t="s">
        <v>72</v>
      </c>
      <c r="B141" s="468" t="s">
        <v>224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>
      <c r="A142" s="55" t="s">
        <v>72</v>
      </c>
      <c r="B142" s="469" t="s">
        <v>225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>
      <c r="A143" s="117"/>
      <c r="B143" s="470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>
      <c r="A144" s="59" t="s">
        <v>75</v>
      </c>
      <c r="B144" s="467" t="s">
        <v>226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422">
        <f>G144+H144</f>
        <v>364103.61922965694</v>
      </c>
      <c r="G144" s="422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423">
        <f>SUM(M144:AD144)</f>
        <v>38954.196552201036</v>
      </c>
      <c r="L144" s="61">
        <f>SUM(CZ144:DQ144)</f>
        <v>37048.788099800979</v>
      </c>
      <c r="M144" s="423">
        <v>2017.8952120383037</v>
      </c>
      <c r="N144" s="423">
        <v>2031.4154300095463</v>
      </c>
      <c r="O144" s="423">
        <v>2025.5722779004586</v>
      </c>
      <c r="P144" s="423">
        <v>2036.6363244919048</v>
      </c>
      <c r="Q144" s="423">
        <v>2174.8657606103957</v>
      </c>
      <c r="R144" s="423">
        <v>2139.1275684252282</v>
      </c>
      <c r="S144" s="423">
        <v>2269.8788621098379</v>
      </c>
      <c r="T144" s="423">
        <v>2199.8731034482757</v>
      </c>
      <c r="U144" s="423">
        <v>2214.1918960244648</v>
      </c>
      <c r="V144" s="423">
        <v>2323.0202012443356</v>
      </c>
      <c r="W144" s="423">
        <v>2319.2258355916892</v>
      </c>
      <c r="X144" s="423">
        <v>2302.9974595842955</v>
      </c>
      <c r="Y144" s="423">
        <v>2256.5049293083684</v>
      </c>
      <c r="Z144" s="423">
        <v>2212.0418107754977</v>
      </c>
      <c r="AA144" s="423">
        <v>2229.1199141767324</v>
      </c>
      <c r="AB144" s="423">
        <v>2134.8894582108355</v>
      </c>
      <c r="AC144" s="423">
        <v>2012.6591474539725</v>
      </c>
      <c r="AD144" s="423">
        <v>2054.2813607968933</v>
      </c>
      <c r="AE144" s="423">
        <v>2265.0450211864404</v>
      </c>
      <c r="AF144" s="423">
        <v>2804.7232134687529</v>
      </c>
      <c r="AG144" s="423">
        <v>2878.6458486407055</v>
      </c>
      <c r="AH144" s="423">
        <v>2648.2416475163518</v>
      </c>
      <c r="AI144" s="423">
        <v>2812.8031562871206</v>
      </c>
      <c r="AJ144" s="423">
        <v>2819.1729711141679</v>
      </c>
      <c r="AK144" s="423">
        <v>2731.7522704339053</v>
      </c>
      <c r="AL144" s="423">
        <v>2754.8174718956493</v>
      </c>
      <c r="AM144" s="423">
        <v>2792.2450211225105</v>
      </c>
      <c r="AN144" s="423">
        <v>2709.9772329246935</v>
      </c>
      <c r="AO144" s="423">
        <v>2693.0545391183132</v>
      </c>
      <c r="AP144" s="423">
        <v>2739.741847362131</v>
      </c>
      <c r="AQ144" s="423">
        <v>2738.9105892047796</v>
      </c>
      <c r="AR144" s="423">
        <v>2711.0666008067833</v>
      </c>
      <c r="AS144" s="423">
        <v>2782.8070289619263</v>
      </c>
      <c r="AT144" s="423">
        <v>2691.3420944220152</v>
      </c>
      <c r="AU144" s="423">
        <v>2575.2371291098634</v>
      </c>
      <c r="AV144" s="423">
        <v>2616.3572226656024</v>
      </c>
      <c r="AW144" s="423">
        <v>2585.9089460686691</v>
      </c>
      <c r="AX144" s="423">
        <v>2533.264568094025</v>
      </c>
      <c r="AY144" s="423">
        <v>2413.1614349775782</v>
      </c>
      <c r="AZ144" s="423">
        <v>2431.4496314496314</v>
      </c>
      <c r="BA144" s="423">
        <v>2293.8903732491299</v>
      </c>
      <c r="BB144" s="423">
        <v>2344.819097470061</v>
      </c>
      <c r="BC144" s="423">
        <v>2403.7633319021038</v>
      </c>
      <c r="BD144" s="423">
        <v>2239.8626248466794</v>
      </c>
      <c r="BE144" s="423">
        <v>2047.4737312365976</v>
      </c>
      <c r="BF144" s="423">
        <v>2052.8353243075835</v>
      </c>
      <c r="BG144" s="423">
        <v>1984.3233076189651</v>
      </c>
      <c r="BH144" s="423">
        <v>1967.3126347206103</v>
      </c>
      <c r="BI144" s="423">
        <v>1977.5348837209303</v>
      </c>
      <c r="BJ144" s="423">
        <v>2084.857469993683</v>
      </c>
      <c r="BK144" s="423">
        <v>2131.2999446158715</v>
      </c>
      <c r="BL144" s="423">
        <v>2143.6819436775263</v>
      </c>
      <c r="BM144" s="423">
        <v>2073.8563380281689</v>
      </c>
      <c r="BN144" s="423">
        <v>2300.7910402197972</v>
      </c>
      <c r="BO144" s="423">
        <v>2326.6164287385909</v>
      </c>
      <c r="BP144" s="423">
        <v>2307.9060786106033</v>
      </c>
      <c r="BQ144" s="423">
        <v>2344.6145362640732</v>
      </c>
      <c r="BR144" s="423">
        <v>2368.012116504854</v>
      </c>
      <c r="BS144" s="423">
        <v>2252.978437722139</v>
      </c>
      <c r="BT144" s="423">
        <v>2241.3179516972359</v>
      </c>
      <c r="BU144" s="423">
        <v>2297.6054466954502</v>
      </c>
      <c r="BV144" s="423">
        <v>2198.0522088353414</v>
      </c>
      <c r="BW144" s="423">
        <v>2021.5031326614003</v>
      </c>
      <c r="BX144" s="423">
        <v>2002.5265144540601</v>
      </c>
      <c r="BY144" s="423">
        <v>1890.3538506703198</v>
      </c>
      <c r="BZ144" s="423">
        <v>1822.7951142631994</v>
      </c>
      <c r="CA144" s="423">
        <v>1687.8206664564279</v>
      </c>
      <c r="CB144" s="423">
        <v>1588.8602704443015</v>
      </c>
      <c r="CC144" s="423">
        <v>1552.3684032476319</v>
      </c>
      <c r="CD144" s="423">
        <v>1527.1244533743056</v>
      </c>
      <c r="CE144" s="423">
        <v>1273.9034871433603</v>
      </c>
      <c r="CF144" s="423">
        <v>1290.2680573978055</v>
      </c>
      <c r="CG144" s="423">
        <v>1292.323121170439</v>
      </c>
      <c r="CH144" s="423">
        <v>1203.3575933400607</v>
      </c>
      <c r="CI144" s="423">
        <v>1137.5975561687032</v>
      </c>
      <c r="CJ144" s="423">
        <v>1181.2559576345984</v>
      </c>
      <c r="CK144" s="423">
        <v>1033.272138554217</v>
      </c>
      <c r="CL144" s="423">
        <v>966.99722735674675</v>
      </c>
      <c r="CM144" s="423">
        <v>986.02355350742448</v>
      </c>
      <c r="CN144" s="423">
        <v>974.00968523002427</v>
      </c>
      <c r="CO144" s="423">
        <v>796.9</v>
      </c>
      <c r="CP144" s="423">
        <v>696.19117288466236</v>
      </c>
      <c r="CQ144" s="423">
        <v>621.99595857539782</v>
      </c>
      <c r="CR144" s="423">
        <v>600.77992957746471</v>
      </c>
      <c r="CS144" s="423">
        <v>583.85111740635818</v>
      </c>
      <c r="CT144" s="423">
        <v>522.79582712369597</v>
      </c>
      <c r="CU144" s="423">
        <v>452.41860465116281</v>
      </c>
      <c r="CV144" s="423">
        <v>372.84571129707109</v>
      </c>
      <c r="CW144" s="423">
        <v>312.34061135371184</v>
      </c>
      <c r="CX144" s="423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>
      <c r="A145" s="59" t="s">
        <v>75</v>
      </c>
      <c r="B145" s="468" t="s">
        <v>227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>
      <c r="A146" s="59" t="s">
        <v>75</v>
      </c>
      <c r="B146" s="468" t="s">
        <v>228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>
      <c r="A147" s="59" t="s">
        <v>75</v>
      </c>
      <c r="B147" s="468" t="s">
        <v>229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>
      <c r="A148" s="63" t="s">
        <v>75</v>
      </c>
      <c r="B148" s="469" t="s">
        <v>230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>
      <c r="A149" s="117"/>
      <c r="B149" s="470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>
      <c r="A150" s="73" t="s">
        <v>70</v>
      </c>
      <c r="B150" s="471" t="s">
        <v>231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422">
        <f t="shared" ref="F150:F156" si="36">G150+H150</f>
        <v>6398497</v>
      </c>
      <c r="G150" s="422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423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>
      <c r="A151" s="64" t="s">
        <v>70</v>
      </c>
      <c r="B151" s="471" t="s">
        <v>232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>
      <c r="A152" s="64" t="s">
        <v>70</v>
      </c>
      <c r="B152" s="471" t="s">
        <v>233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>
      <c r="A153" s="64" t="s">
        <v>70</v>
      </c>
      <c r="B153" s="471" t="s">
        <v>234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>
      <c r="A154" s="64" t="s">
        <v>70</v>
      </c>
      <c r="B154" s="471" t="s">
        <v>235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>
      <c r="A155" s="64" t="s">
        <v>70</v>
      </c>
      <c r="B155" s="471" t="s">
        <v>236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>
      <c r="A156" s="140" t="s">
        <v>70</v>
      </c>
      <c r="B156" s="471" t="s">
        <v>237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>
      <c r="A157" s="118"/>
      <c r="B157" s="472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421"/>
      <c r="O157" s="421"/>
      <c r="P157" s="421"/>
      <c r="Q157" s="421"/>
      <c r="R157" s="421"/>
      <c r="S157" s="421"/>
      <c r="T157" s="421"/>
      <c r="U157" s="421"/>
      <c r="V157" s="421"/>
      <c r="W157" s="421"/>
      <c r="X157" s="421"/>
      <c r="Y157" s="421"/>
      <c r="Z157" s="421"/>
      <c r="AA157" s="421"/>
      <c r="AB157" s="421"/>
      <c r="AC157" s="421"/>
      <c r="AD157" s="421"/>
      <c r="AE157" s="421"/>
      <c r="AF157" s="421"/>
      <c r="AG157" s="421"/>
      <c r="AH157" s="421"/>
      <c r="AI157" s="421"/>
      <c r="AJ157" s="421"/>
      <c r="AK157" s="421"/>
      <c r="AL157" s="421"/>
      <c r="AM157" s="421"/>
      <c r="AN157" s="421"/>
      <c r="AO157" s="421"/>
      <c r="AP157" s="421"/>
      <c r="AQ157" s="421"/>
      <c r="AR157" s="421"/>
      <c r="AS157" s="421"/>
      <c r="AT157" s="421"/>
      <c r="AU157" s="421"/>
      <c r="AV157" s="421"/>
      <c r="AW157" s="421"/>
      <c r="AX157" s="421"/>
      <c r="AY157" s="421"/>
      <c r="AZ157" s="421"/>
      <c r="BA157" s="421"/>
      <c r="BB157" s="421"/>
      <c r="BC157" s="421"/>
      <c r="BD157" s="421"/>
      <c r="BE157" s="421"/>
      <c r="BF157" s="421"/>
      <c r="BG157" s="421"/>
      <c r="BH157" s="421"/>
      <c r="BI157" s="421"/>
      <c r="BJ157" s="421"/>
      <c r="BK157" s="421"/>
      <c r="BL157" s="421"/>
      <c r="BM157" s="421"/>
      <c r="BN157" s="421"/>
      <c r="BO157" s="421"/>
      <c r="BP157" s="421"/>
      <c r="BQ157" s="421"/>
      <c r="BR157" s="421"/>
      <c r="BS157" s="421"/>
      <c r="BT157" s="421"/>
      <c r="BU157" s="421"/>
      <c r="BV157" s="421"/>
      <c r="BW157" s="421"/>
      <c r="BX157" s="421"/>
      <c r="BY157" s="421"/>
      <c r="BZ157" s="421"/>
      <c r="CA157" s="421"/>
      <c r="CB157" s="421"/>
      <c r="CC157" s="421"/>
      <c r="CD157" s="421"/>
      <c r="CE157" s="421"/>
      <c r="CF157" s="421"/>
      <c r="CG157" s="421"/>
      <c r="CH157" s="421"/>
      <c r="CI157" s="421"/>
      <c r="CJ157" s="421"/>
      <c r="CK157" s="421"/>
      <c r="CL157" s="421"/>
      <c r="CM157" s="421"/>
      <c r="CN157" s="421"/>
      <c r="CO157" s="421"/>
      <c r="CP157" s="421"/>
      <c r="CQ157" s="421"/>
      <c r="CR157" s="421"/>
      <c r="CS157" s="421"/>
      <c r="CT157" s="421"/>
      <c r="CU157" s="421"/>
      <c r="CV157" s="421"/>
      <c r="CW157" s="421"/>
      <c r="CX157" s="421"/>
      <c r="CY157" s="77"/>
      <c r="CZ157" s="119"/>
      <c r="DA157" s="421"/>
      <c r="DB157" s="421"/>
      <c r="DC157" s="421"/>
      <c r="DD157" s="421"/>
      <c r="DE157" s="421"/>
      <c r="DF157" s="421"/>
      <c r="DG157" s="421"/>
      <c r="DH157" s="421"/>
      <c r="DI157" s="421"/>
      <c r="DJ157" s="421"/>
      <c r="DK157" s="421"/>
      <c r="DL157" s="421"/>
      <c r="DM157" s="421"/>
      <c r="DN157" s="421"/>
      <c r="DO157" s="421"/>
      <c r="DP157" s="421"/>
      <c r="DQ157" s="421"/>
      <c r="DR157" s="421"/>
      <c r="DS157" s="421"/>
      <c r="DT157" s="421"/>
      <c r="DU157" s="421"/>
      <c r="DV157" s="421"/>
      <c r="DW157" s="421"/>
      <c r="DX157" s="421"/>
      <c r="DY157" s="421"/>
      <c r="DZ157" s="421"/>
      <c r="EA157" s="421"/>
      <c r="EB157" s="421"/>
      <c r="EC157" s="421"/>
      <c r="ED157" s="421"/>
      <c r="EE157" s="421"/>
      <c r="EF157" s="421"/>
      <c r="EG157" s="421"/>
      <c r="EH157" s="421"/>
      <c r="EI157" s="421"/>
      <c r="EJ157" s="421"/>
      <c r="EK157" s="421"/>
      <c r="EL157" s="421"/>
      <c r="EM157" s="421"/>
      <c r="EN157" s="421"/>
      <c r="EO157" s="421"/>
      <c r="EP157" s="421"/>
      <c r="EQ157" s="421"/>
      <c r="ER157" s="421"/>
      <c r="ES157" s="421"/>
      <c r="ET157" s="421"/>
      <c r="EU157" s="421"/>
      <c r="EV157" s="421"/>
      <c r="EW157" s="421"/>
      <c r="EX157" s="421"/>
      <c r="EY157" s="421"/>
      <c r="EZ157" s="421"/>
      <c r="FA157" s="421"/>
      <c r="FB157" s="421"/>
      <c r="FC157" s="421"/>
      <c r="FD157" s="421"/>
      <c r="FE157" s="421"/>
      <c r="FF157" s="421"/>
      <c r="FG157" s="421"/>
      <c r="FH157" s="421"/>
      <c r="FI157" s="421"/>
      <c r="FJ157" s="421"/>
      <c r="FK157" s="421"/>
      <c r="FL157" s="421"/>
      <c r="FM157" s="421"/>
      <c r="FN157" s="421"/>
      <c r="FO157" s="421"/>
      <c r="FP157" s="421"/>
      <c r="FQ157" s="421"/>
      <c r="FR157" s="421"/>
      <c r="FS157" s="421"/>
      <c r="FT157" s="421"/>
      <c r="FU157" s="421"/>
      <c r="FV157" s="421"/>
      <c r="FW157" s="421"/>
      <c r="FX157" s="421"/>
      <c r="FY157" s="421"/>
      <c r="FZ157" s="421"/>
      <c r="GA157" s="421"/>
      <c r="GB157" s="421"/>
      <c r="GC157" s="421"/>
      <c r="GD157" s="421"/>
      <c r="GE157" s="421"/>
      <c r="GF157" s="421"/>
      <c r="GG157" s="421"/>
      <c r="GH157" s="421"/>
      <c r="GI157" s="421"/>
      <c r="GJ157" s="421"/>
      <c r="GK157" s="421"/>
      <c r="GL157" s="77"/>
    </row>
    <row r="158" spans="1:194" s="1" customFormat="1">
      <c r="A158" s="108" t="s">
        <v>62</v>
      </c>
      <c r="B158" s="473" t="s">
        <v>238</v>
      </c>
      <c r="C158" s="424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422">
        <f t="shared" ref="G158:G163" si="47">SUM(M158:CY158)</f>
        <v>470982</v>
      </c>
      <c r="H158" s="62">
        <f t="shared" ref="H158:H163" si="48">SUM(CZ158:GL158)</f>
        <v>482870</v>
      </c>
      <c r="I158" s="422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423">
        <v>4706</v>
      </c>
      <c r="O158" s="423">
        <v>4907</v>
      </c>
      <c r="P158" s="423">
        <v>5108</v>
      </c>
      <c r="Q158" s="423">
        <v>5293</v>
      </c>
      <c r="R158" s="423">
        <v>5287</v>
      </c>
      <c r="S158" s="423">
        <v>5628</v>
      </c>
      <c r="T158" s="423">
        <v>5623</v>
      </c>
      <c r="U158" s="423">
        <v>5617</v>
      </c>
      <c r="V158" s="423">
        <v>5799</v>
      </c>
      <c r="W158" s="423">
        <v>6160</v>
      </c>
      <c r="X158" s="423">
        <v>6033</v>
      </c>
      <c r="Y158" s="423">
        <v>5955</v>
      </c>
      <c r="Z158" s="423">
        <v>5803</v>
      </c>
      <c r="AA158" s="423">
        <v>5710</v>
      </c>
      <c r="AB158" s="423">
        <v>5605</v>
      </c>
      <c r="AC158" s="423">
        <v>5496</v>
      </c>
      <c r="AD158" s="423">
        <v>5413</v>
      </c>
      <c r="AE158" s="423">
        <v>5967</v>
      </c>
      <c r="AF158" s="423">
        <v>6678</v>
      </c>
      <c r="AG158" s="423">
        <v>6216</v>
      </c>
      <c r="AH158" s="423">
        <v>5569</v>
      </c>
      <c r="AI158" s="423">
        <v>5932</v>
      </c>
      <c r="AJ158" s="423">
        <v>5961</v>
      </c>
      <c r="AK158" s="423">
        <v>5644</v>
      </c>
      <c r="AL158" s="423">
        <v>5569</v>
      </c>
      <c r="AM158" s="423">
        <v>5603</v>
      </c>
      <c r="AN158" s="423">
        <v>5436</v>
      </c>
      <c r="AO158" s="423">
        <v>5723</v>
      </c>
      <c r="AP158" s="423">
        <v>5509</v>
      </c>
      <c r="AQ158" s="423">
        <v>5906</v>
      </c>
      <c r="AR158" s="423">
        <v>5926</v>
      </c>
      <c r="AS158" s="423">
        <v>5999</v>
      </c>
      <c r="AT158" s="423">
        <v>5968</v>
      </c>
      <c r="AU158" s="423">
        <v>6124</v>
      </c>
      <c r="AV158" s="423">
        <v>6089</v>
      </c>
      <c r="AW158" s="423">
        <v>6037</v>
      </c>
      <c r="AX158" s="423">
        <v>5950</v>
      </c>
      <c r="AY158" s="423">
        <v>6029</v>
      </c>
      <c r="AZ158" s="423">
        <v>5880</v>
      </c>
      <c r="BA158" s="423">
        <v>5821</v>
      </c>
      <c r="BB158" s="423">
        <v>5960</v>
      </c>
      <c r="BC158" s="423">
        <v>6033</v>
      </c>
      <c r="BD158" s="423">
        <v>5922</v>
      </c>
      <c r="BE158" s="423">
        <v>5375</v>
      </c>
      <c r="BF158" s="423">
        <v>5274</v>
      </c>
      <c r="BG158" s="423">
        <v>5437</v>
      </c>
      <c r="BH158" s="423">
        <v>5820</v>
      </c>
      <c r="BI158" s="423">
        <v>5866</v>
      </c>
      <c r="BJ158" s="423">
        <v>6432</v>
      </c>
      <c r="BK158" s="423">
        <v>6631</v>
      </c>
      <c r="BL158" s="423">
        <v>6700</v>
      </c>
      <c r="BM158" s="423">
        <v>6536</v>
      </c>
      <c r="BN158" s="423">
        <v>6527</v>
      </c>
      <c r="BO158" s="423">
        <v>6586</v>
      </c>
      <c r="BP158" s="423">
        <v>6746</v>
      </c>
      <c r="BQ158" s="423">
        <v>6723</v>
      </c>
      <c r="BR158" s="423">
        <v>6887</v>
      </c>
      <c r="BS158" s="423">
        <v>6661</v>
      </c>
      <c r="BT158" s="423">
        <v>6550</v>
      </c>
      <c r="BU158" s="423">
        <v>6440</v>
      </c>
      <c r="BV158" s="423">
        <v>6192</v>
      </c>
      <c r="BW158" s="423">
        <v>5977</v>
      </c>
      <c r="BX158" s="423">
        <v>5691</v>
      </c>
      <c r="BY158" s="423">
        <v>5371</v>
      </c>
      <c r="BZ158" s="423">
        <v>5135</v>
      </c>
      <c r="CA158" s="423">
        <v>4863</v>
      </c>
      <c r="CB158" s="423">
        <v>4730</v>
      </c>
      <c r="CC158" s="423">
        <v>4797</v>
      </c>
      <c r="CD158" s="423">
        <v>4544</v>
      </c>
      <c r="CE158" s="423">
        <v>4485</v>
      </c>
      <c r="CF158" s="423">
        <v>4422</v>
      </c>
      <c r="CG158" s="423">
        <v>4421</v>
      </c>
      <c r="CH158" s="423">
        <v>4529</v>
      </c>
      <c r="CI158" s="423">
        <v>4861</v>
      </c>
      <c r="CJ158" s="423">
        <v>5197</v>
      </c>
      <c r="CK158" s="423">
        <v>3865</v>
      </c>
      <c r="CL158" s="423">
        <v>3773</v>
      </c>
      <c r="CM158" s="423">
        <v>3497</v>
      </c>
      <c r="CN158" s="423">
        <v>3141</v>
      </c>
      <c r="CO158" s="423">
        <v>2804</v>
      </c>
      <c r="CP158" s="423">
        <v>2380</v>
      </c>
      <c r="CQ158" s="423">
        <v>2335</v>
      </c>
      <c r="CR158" s="423">
        <v>2209</v>
      </c>
      <c r="CS158" s="423">
        <v>2008</v>
      </c>
      <c r="CT158" s="423">
        <v>1804</v>
      </c>
      <c r="CU158" s="423">
        <v>1625</v>
      </c>
      <c r="CV158" s="423">
        <v>1368</v>
      </c>
      <c r="CW158" s="423">
        <v>1144</v>
      </c>
      <c r="CX158" s="423">
        <v>1023</v>
      </c>
      <c r="CY158" s="61">
        <v>3359</v>
      </c>
      <c r="CZ158" s="106">
        <v>4395</v>
      </c>
      <c r="DA158" s="423">
        <v>4569</v>
      </c>
      <c r="DB158" s="423">
        <v>4724</v>
      </c>
      <c r="DC158" s="423">
        <v>4830</v>
      </c>
      <c r="DD158" s="423">
        <v>5033</v>
      </c>
      <c r="DE158" s="423">
        <v>5193</v>
      </c>
      <c r="DF158" s="423">
        <v>5362</v>
      </c>
      <c r="DG158" s="423">
        <v>5295</v>
      </c>
      <c r="DH158" s="423">
        <v>5344</v>
      </c>
      <c r="DI158" s="423">
        <v>5565</v>
      </c>
      <c r="DJ158" s="423">
        <v>5551</v>
      </c>
      <c r="DK158" s="423">
        <v>5719</v>
      </c>
      <c r="DL158" s="423">
        <v>5546</v>
      </c>
      <c r="DM158" s="423">
        <v>5549</v>
      </c>
      <c r="DN158" s="423">
        <v>5624</v>
      </c>
      <c r="DO158" s="423">
        <v>5574</v>
      </c>
      <c r="DP158" s="423">
        <v>5184</v>
      </c>
      <c r="DQ158" s="423">
        <v>5221</v>
      </c>
      <c r="DR158" s="423">
        <v>5415</v>
      </c>
      <c r="DS158" s="423">
        <v>5600</v>
      </c>
      <c r="DT158" s="423">
        <v>5189</v>
      </c>
      <c r="DU158" s="423">
        <v>4912</v>
      </c>
      <c r="DV158" s="423">
        <v>5426</v>
      </c>
      <c r="DW158" s="423">
        <v>5137</v>
      </c>
      <c r="DX158" s="423">
        <v>5128</v>
      </c>
      <c r="DY158" s="423">
        <v>5294</v>
      </c>
      <c r="DZ158" s="423">
        <v>5013</v>
      </c>
      <c r="EA158" s="423">
        <v>5302</v>
      </c>
      <c r="EB158" s="423">
        <v>5698</v>
      </c>
      <c r="EC158" s="423">
        <v>5815</v>
      </c>
      <c r="ED158" s="423">
        <v>5939</v>
      </c>
      <c r="EE158" s="423">
        <v>6272</v>
      </c>
      <c r="EF158" s="423">
        <v>6263</v>
      </c>
      <c r="EG158" s="423">
        <v>6313</v>
      </c>
      <c r="EH158" s="423">
        <v>6318</v>
      </c>
      <c r="EI158" s="423">
        <v>6535</v>
      </c>
      <c r="EJ158" s="423">
        <v>6131</v>
      </c>
      <c r="EK158" s="423">
        <v>6244</v>
      </c>
      <c r="EL158" s="423">
        <v>6165</v>
      </c>
      <c r="EM158" s="423">
        <v>5942</v>
      </c>
      <c r="EN158" s="423">
        <v>6211</v>
      </c>
      <c r="EO158" s="423">
        <v>6218</v>
      </c>
      <c r="EP158" s="423">
        <v>6104</v>
      </c>
      <c r="EQ158" s="423">
        <v>5799</v>
      </c>
      <c r="ER158" s="423">
        <v>5574</v>
      </c>
      <c r="ES158" s="423">
        <v>5586</v>
      </c>
      <c r="ET158" s="423">
        <v>5770</v>
      </c>
      <c r="EU158" s="423">
        <v>5831</v>
      </c>
      <c r="EV158" s="423">
        <v>6251</v>
      </c>
      <c r="EW158" s="423">
        <v>6563</v>
      </c>
      <c r="EX158" s="423">
        <v>6923</v>
      </c>
      <c r="EY158" s="423">
        <v>6736</v>
      </c>
      <c r="EZ158" s="423">
        <v>6661</v>
      </c>
      <c r="FA158" s="423">
        <v>6860</v>
      </c>
      <c r="FB158" s="423">
        <v>6795</v>
      </c>
      <c r="FC158" s="423">
        <v>7093</v>
      </c>
      <c r="FD158" s="423">
        <v>7056</v>
      </c>
      <c r="FE158" s="423">
        <v>6890</v>
      </c>
      <c r="FF158" s="423">
        <v>6926</v>
      </c>
      <c r="FG158" s="423">
        <v>6551</v>
      </c>
      <c r="FH158" s="423">
        <v>6513</v>
      </c>
      <c r="FI158" s="423">
        <v>6413</v>
      </c>
      <c r="FJ158" s="423">
        <v>5897</v>
      </c>
      <c r="FK158" s="423">
        <v>5838</v>
      </c>
      <c r="FL158" s="423">
        <v>5643</v>
      </c>
      <c r="FM158" s="423">
        <v>5384</v>
      </c>
      <c r="FN158" s="423">
        <v>5189</v>
      </c>
      <c r="FO158" s="423">
        <v>5034</v>
      </c>
      <c r="FP158" s="423">
        <v>5088</v>
      </c>
      <c r="FQ158" s="423">
        <v>5112</v>
      </c>
      <c r="FR158" s="423">
        <v>4845</v>
      </c>
      <c r="FS158" s="423">
        <v>4831</v>
      </c>
      <c r="FT158" s="423">
        <v>4917</v>
      </c>
      <c r="FU158" s="423">
        <v>5074</v>
      </c>
      <c r="FV158" s="423">
        <v>5409</v>
      </c>
      <c r="FW158" s="423">
        <v>5546</v>
      </c>
      <c r="FX158" s="423">
        <v>4375</v>
      </c>
      <c r="FY158" s="423">
        <v>4296</v>
      </c>
      <c r="FZ158" s="423">
        <v>4189</v>
      </c>
      <c r="GA158" s="423">
        <v>3718</v>
      </c>
      <c r="GB158" s="423">
        <v>3306</v>
      </c>
      <c r="GC158" s="423">
        <v>2846</v>
      </c>
      <c r="GD158" s="423">
        <v>2931</v>
      </c>
      <c r="GE158" s="423">
        <v>2828</v>
      </c>
      <c r="GF158" s="423">
        <v>2632</v>
      </c>
      <c r="GG158" s="423">
        <v>2327</v>
      </c>
      <c r="GH158" s="423">
        <v>2137</v>
      </c>
      <c r="GI158" s="423">
        <v>1982</v>
      </c>
      <c r="GJ158" s="423">
        <v>1693</v>
      </c>
      <c r="GK158" s="423">
        <v>1476</v>
      </c>
      <c r="GL158" s="61">
        <v>6674</v>
      </c>
    </row>
    <row r="159" spans="1:194" s="1" customFormat="1">
      <c r="A159" s="110" t="s">
        <v>62</v>
      </c>
      <c r="B159" s="474" t="s">
        <v>239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>
      <c r="A160" s="110" t="s">
        <v>62</v>
      </c>
      <c r="B160" s="474" t="s">
        <v>240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>
      <c r="A161" s="110" t="s">
        <v>62</v>
      </c>
      <c r="B161" s="474" t="s">
        <v>241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>
      <c r="A162" s="110" t="s">
        <v>62</v>
      </c>
      <c r="B162" s="474" t="s">
        <v>242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>
      <c r="A163" s="110" t="s">
        <v>62</v>
      </c>
      <c r="B163" s="474" t="s">
        <v>243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>
      <c r="A164" s="110" t="s">
        <v>62</v>
      </c>
      <c r="B164" s="474" t="s">
        <v>244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>
      <c r="A165" s="110" t="s">
        <v>62</v>
      </c>
      <c r="B165" s="474" t="s">
        <v>245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>
      <c r="A166" s="110" t="s">
        <v>62</v>
      </c>
      <c r="B166" s="474" t="s">
        <v>246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>
      <c r="A167" s="110" t="s">
        <v>62</v>
      </c>
      <c r="B167" s="474" t="s">
        <v>247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>
      <c r="A168" s="110" t="s">
        <v>62</v>
      </c>
      <c r="B168" s="474" t="s">
        <v>248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>
      <c r="A169" s="110" t="s">
        <v>62</v>
      </c>
      <c r="B169" s="474" t="s">
        <v>249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>
      <c r="A170" s="110" t="s">
        <v>62</v>
      </c>
      <c r="B170" s="474" t="s">
        <v>250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>
      <c r="A171" s="110" t="s">
        <v>62</v>
      </c>
      <c r="B171" s="474" t="s">
        <v>251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>
      <c r="A172" s="110" t="s">
        <v>62</v>
      </c>
      <c r="B172" s="474" t="s">
        <v>252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>
      <c r="A173" s="110" t="s">
        <v>62</v>
      </c>
      <c r="B173" s="474" t="s">
        <v>253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>
      <c r="A174" s="110" t="s">
        <v>62</v>
      </c>
      <c r="B174" s="474" t="s">
        <v>254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>
      <c r="A175" s="110" t="s">
        <v>62</v>
      </c>
      <c r="B175" s="474" t="s">
        <v>255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>
      <c r="A176" s="110" t="s">
        <v>62</v>
      </c>
      <c r="B176" s="474" t="s">
        <v>256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>
      <c r="A177" s="110" t="s">
        <v>62</v>
      </c>
      <c r="B177" s="474" t="s">
        <v>257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>
      <c r="A178" s="110" t="s">
        <v>62</v>
      </c>
      <c r="B178" s="474" t="s">
        <v>258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>
      <c r="A179" s="110" t="s">
        <v>62</v>
      </c>
      <c r="B179" s="474" t="s">
        <v>259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>
      <c r="A180" s="110" t="s">
        <v>62</v>
      </c>
      <c r="B180" s="474" t="s">
        <v>260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>
      <c r="A181" s="110" t="s">
        <v>62</v>
      </c>
      <c r="B181" s="474" t="s">
        <v>261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>
      <c r="A182" s="110" t="s">
        <v>62</v>
      </c>
      <c r="B182" s="474" t="s">
        <v>262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>
      <c r="A183" s="110" t="s">
        <v>62</v>
      </c>
      <c r="B183" s="474" t="s">
        <v>263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>
      <c r="A184" s="110" t="s">
        <v>62</v>
      </c>
      <c r="B184" s="474" t="s">
        <v>264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>
      <c r="A185" s="110" t="s">
        <v>62</v>
      </c>
      <c r="B185" s="474" t="s">
        <v>265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>
      <c r="A186" s="110" t="s">
        <v>62</v>
      </c>
      <c r="B186" s="474" t="s">
        <v>266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>
      <c r="A187" s="110" t="s">
        <v>62</v>
      </c>
      <c r="B187" s="474" t="s">
        <v>267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>
      <c r="A188" s="110" t="s">
        <v>62</v>
      </c>
      <c r="B188" s="474" t="s">
        <v>268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>
      <c r="A189" s="110" t="s">
        <v>62</v>
      </c>
      <c r="B189" s="474" t="s">
        <v>269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>
      <c r="A190" s="110" t="s">
        <v>62</v>
      </c>
      <c r="B190" s="474" t="s">
        <v>270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>
      <c r="A191" s="110" t="s">
        <v>62</v>
      </c>
      <c r="B191" s="474" t="s">
        <v>271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>
      <c r="A192" s="110" t="s">
        <v>62</v>
      </c>
      <c r="B192" s="474" t="s">
        <v>272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>
      <c r="A193" s="110" t="s">
        <v>62</v>
      </c>
      <c r="B193" s="474" t="s">
        <v>273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>
      <c r="A194" s="110" t="s">
        <v>62</v>
      </c>
      <c r="B194" s="474" t="s">
        <v>274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>
      <c r="A195" s="110" t="s">
        <v>62</v>
      </c>
      <c r="B195" s="474" t="s">
        <v>275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>
      <c r="A196" s="110" t="s">
        <v>62</v>
      </c>
      <c r="B196" s="474" t="s">
        <v>276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>
      <c r="A197" s="110" t="s">
        <v>62</v>
      </c>
      <c r="B197" s="474" t="s">
        <v>277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>
      <c r="A198" s="110" t="s">
        <v>62</v>
      </c>
      <c r="B198" s="474" t="s">
        <v>278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>
      <c r="A199" s="110" t="s">
        <v>62</v>
      </c>
      <c r="B199" s="474" t="s">
        <v>279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>
      <c r="A200" s="113"/>
      <c r="B200" s="475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>
      <c r="A201" s="31" t="s">
        <v>91</v>
      </c>
      <c r="B201" s="1" t="s">
        <v>280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422">
        <f t="shared" ref="F201:F265" si="75">G201+H201</f>
        <v>64688</v>
      </c>
      <c r="G201" s="422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>
      <c r="A202" s="31" t="s">
        <v>91</v>
      </c>
      <c r="B202" s="1" t="s">
        <v>281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>
      <c r="A203" s="31" t="s">
        <v>91</v>
      </c>
      <c r="B203" s="1" t="s">
        <v>282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>
      <c r="A204" s="31" t="s">
        <v>91</v>
      </c>
      <c r="B204" s="1" t="s">
        <v>283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>
      <c r="A205" s="31" t="s">
        <v>91</v>
      </c>
      <c r="B205" s="1" t="s">
        <v>284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>
      <c r="A206" s="31" t="s">
        <v>91</v>
      </c>
      <c r="B206" s="1" t="s">
        <v>285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>
      <c r="A207" s="31" t="s">
        <v>91</v>
      </c>
      <c r="B207" s="1" t="s">
        <v>286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>
      <c r="A208" s="31" t="s">
        <v>91</v>
      </c>
      <c r="B208" s="1" t="s">
        <v>287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>
      <c r="A209" s="31" t="s">
        <v>91</v>
      </c>
      <c r="B209" s="1" t="s">
        <v>288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>
      <c r="A210" s="31" t="s">
        <v>91</v>
      </c>
      <c r="B210" s="1" t="s">
        <v>289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>
      <c r="A211" s="31" t="s">
        <v>91</v>
      </c>
      <c r="B211" s="1" t="s">
        <v>290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>
      <c r="A212" s="31" t="s">
        <v>91</v>
      </c>
      <c r="B212" s="1" t="s">
        <v>291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>
      <c r="A213" s="31" t="s">
        <v>91</v>
      </c>
      <c r="B213" s="1" t="s">
        <v>292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>
      <c r="A214" s="31" t="s">
        <v>91</v>
      </c>
      <c r="B214" s="1" t="s">
        <v>293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>
      <c r="A215" s="31" t="s">
        <v>91</v>
      </c>
      <c r="B215" s="1" t="s">
        <v>294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>
      <c r="A216" s="31" t="s">
        <v>91</v>
      </c>
      <c r="B216" s="1" t="s">
        <v>295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>
      <c r="A217" s="31" t="s">
        <v>91</v>
      </c>
      <c r="B217" s="1" t="s">
        <v>296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>
      <c r="A218" s="31" t="s">
        <v>91</v>
      </c>
      <c r="B218" s="1" t="s">
        <v>297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>
      <c r="A219" s="31" t="s">
        <v>91</v>
      </c>
      <c r="B219" s="1" t="s">
        <v>298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>
      <c r="A220" s="31" t="s">
        <v>91</v>
      </c>
      <c r="B220" s="1" t="s">
        <v>299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>
      <c r="A221" s="31" t="s">
        <v>91</v>
      </c>
      <c r="B221" s="1" t="s">
        <v>300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>
      <c r="A222" s="31" t="s">
        <v>91</v>
      </c>
      <c r="B222" s="1" t="s">
        <v>301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>
      <c r="A223" s="31" t="s">
        <v>91</v>
      </c>
      <c r="B223" s="1" t="s">
        <v>302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>
      <c r="A224" s="31" t="s">
        <v>91</v>
      </c>
      <c r="B224" s="1" t="s">
        <v>303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>
      <c r="A225" s="31" t="s">
        <v>91</v>
      </c>
      <c r="B225" s="1" t="s">
        <v>304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>
      <c r="A226" s="31" t="s">
        <v>91</v>
      </c>
      <c r="B226" s="1" t="s">
        <v>305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>
      <c r="A227" s="31" t="s">
        <v>91</v>
      </c>
      <c r="B227" s="1" t="s">
        <v>306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>
      <c r="A228" s="31" t="s">
        <v>91</v>
      </c>
      <c r="B228" s="1" t="s">
        <v>307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>
      <c r="A229" s="31" t="s">
        <v>91</v>
      </c>
      <c r="B229" s="1" t="s">
        <v>308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>
      <c r="A230" s="31" t="s">
        <v>91</v>
      </c>
      <c r="B230" s="1" t="s">
        <v>309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>
      <c r="A231" s="31" t="s">
        <v>91</v>
      </c>
      <c r="B231" s="1" t="s">
        <v>310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>
      <c r="A232" s="31" t="s">
        <v>91</v>
      </c>
      <c r="B232" s="1" t="s">
        <v>311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>
      <c r="A233" s="31" t="s">
        <v>91</v>
      </c>
      <c r="B233" s="1" t="s">
        <v>312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>
      <c r="A234" s="31" t="s">
        <v>91</v>
      </c>
      <c r="B234" s="1" t="s">
        <v>313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>
      <c r="A235" s="31" t="s">
        <v>91</v>
      </c>
      <c r="B235" s="1" t="s">
        <v>314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>
      <c r="A236" s="31" t="s">
        <v>91</v>
      </c>
      <c r="B236" s="1" t="s">
        <v>315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>
      <c r="A237" s="31" t="s">
        <v>91</v>
      </c>
      <c r="B237" s="1" t="s">
        <v>316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>
      <c r="A238" s="31" t="s">
        <v>91</v>
      </c>
      <c r="B238" s="1" t="s">
        <v>317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>
      <c r="A239" s="31" t="s">
        <v>91</v>
      </c>
      <c r="B239" s="1" t="s">
        <v>318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>
      <c r="A240" s="31" t="s">
        <v>91</v>
      </c>
      <c r="B240" s="1" t="s">
        <v>319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>
      <c r="A241" s="31" t="s">
        <v>91</v>
      </c>
      <c r="B241" s="1" t="s">
        <v>320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>
      <c r="A242" s="31" t="s">
        <v>91</v>
      </c>
      <c r="B242" s="1" t="s">
        <v>321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>
      <c r="A243" s="31" t="s">
        <v>91</v>
      </c>
      <c r="B243" s="1" t="s">
        <v>322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>
      <c r="A244" s="31" t="s">
        <v>91</v>
      </c>
      <c r="B244" s="1" t="s">
        <v>323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>
      <c r="A245" s="31" t="s">
        <v>91</v>
      </c>
      <c r="B245" s="1" t="s">
        <v>324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>
      <c r="A246" s="31" t="s">
        <v>91</v>
      </c>
      <c r="B246" s="1" t="s">
        <v>325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>
      <c r="A247" s="31" t="s">
        <v>91</v>
      </c>
      <c r="B247" s="1" t="s">
        <v>326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>
      <c r="A248" s="31" t="s">
        <v>91</v>
      </c>
      <c r="B248" s="1" t="s">
        <v>327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>
      <c r="A249" s="31" t="s">
        <v>91</v>
      </c>
      <c r="B249" s="1" t="s">
        <v>328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>
      <c r="A250" s="31" t="s">
        <v>91</v>
      </c>
      <c r="B250" s="1" t="s">
        <v>329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>
      <c r="A251" s="31" t="s">
        <v>91</v>
      </c>
      <c r="B251" s="1" t="s">
        <v>330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>
      <c r="A252" s="31" t="s">
        <v>91</v>
      </c>
      <c r="B252" s="1" t="s">
        <v>331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>
      <c r="A253" s="31" t="s">
        <v>91</v>
      </c>
      <c r="B253" s="1" t="s">
        <v>332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>
      <c r="A254" s="31" t="s">
        <v>91</v>
      </c>
      <c r="B254" s="1" t="s">
        <v>333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>
      <c r="A255" s="31" t="s">
        <v>91</v>
      </c>
      <c r="B255" s="1" t="s">
        <v>334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>
      <c r="A256" s="31" t="s">
        <v>91</v>
      </c>
      <c r="B256" s="1" t="s">
        <v>335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>
      <c r="A257" s="31" t="s">
        <v>91</v>
      </c>
      <c r="B257" s="1" t="s">
        <v>336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>
      <c r="A258" s="31" t="s">
        <v>91</v>
      </c>
      <c r="B258" s="1" t="s">
        <v>337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>
      <c r="A259" s="31" t="s">
        <v>91</v>
      </c>
      <c r="B259" s="1" t="s">
        <v>338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>
      <c r="A260" s="31" t="s">
        <v>91</v>
      </c>
      <c r="B260" s="1" t="s">
        <v>339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>
      <c r="A261" s="31" t="s">
        <v>91</v>
      </c>
      <c r="B261" s="1" t="s">
        <v>340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>
      <c r="A262" s="31" t="s">
        <v>91</v>
      </c>
      <c r="B262" s="1" t="s">
        <v>341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>
      <c r="A263" s="31" t="s">
        <v>91</v>
      </c>
      <c r="B263" s="1" t="s">
        <v>342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>
      <c r="A264" s="31" t="s">
        <v>91</v>
      </c>
      <c r="B264" s="1" t="s">
        <v>343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>
      <c r="A265" s="31" t="s">
        <v>91</v>
      </c>
      <c r="B265" s="1" t="s">
        <v>344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>
      <c r="A266" s="31" t="s">
        <v>91</v>
      </c>
      <c r="B266" s="1" t="s">
        <v>345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>
      <c r="A267" s="31" t="s">
        <v>91</v>
      </c>
      <c r="B267" s="1" t="s">
        <v>346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>
      <c r="A268" s="31" t="s">
        <v>91</v>
      </c>
      <c r="B268" s="1" t="s">
        <v>347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>
      <c r="A269" s="31" t="s">
        <v>91</v>
      </c>
      <c r="B269" s="1" t="s">
        <v>348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>
      <c r="A270" s="31" t="s">
        <v>91</v>
      </c>
      <c r="B270" s="1" t="s">
        <v>349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>
      <c r="A271" s="31" t="s">
        <v>91</v>
      </c>
      <c r="B271" s="1" t="s">
        <v>350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>
      <c r="A272" s="31" t="s">
        <v>91</v>
      </c>
      <c r="B272" s="1" t="s">
        <v>351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>
      <c r="A273" s="31" t="s">
        <v>91</v>
      </c>
      <c r="B273" s="1" t="s">
        <v>352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>
      <c r="A274" s="31" t="s">
        <v>91</v>
      </c>
      <c r="B274" s="1" t="s">
        <v>353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>
      <c r="A275" s="31" t="s">
        <v>91</v>
      </c>
      <c r="B275" s="1" t="s">
        <v>354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>
      <c r="A276" s="31" t="s">
        <v>91</v>
      </c>
      <c r="B276" s="1" t="s">
        <v>355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>
      <c r="A277" s="31" t="s">
        <v>91</v>
      </c>
      <c r="B277" s="1" t="s">
        <v>356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>
      <c r="A278" s="31" t="s">
        <v>91</v>
      </c>
      <c r="B278" s="1" t="s">
        <v>357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>
      <c r="A279" s="31" t="s">
        <v>91</v>
      </c>
      <c r="B279" s="1" t="s">
        <v>358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>
      <c r="A280" s="31" t="s">
        <v>91</v>
      </c>
      <c r="B280" s="1" t="s">
        <v>359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>
      <c r="A281" s="31" t="s">
        <v>91</v>
      </c>
      <c r="B281" s="1" t="s">
        <v>360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>
      <c r="A282" s="31" t="s">
        <v>91</v>
      </c>
      <c r="B282" s="1" t="s">
        <v>361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>
      <c r="A283" s="31" t="s">
        <v>91</v>
      </c>
      <c r="B283" s="1" t="s">
        <v>362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>
      <c r="A284" s="31" t="s">
        <v>91</v>
      </c>
      <c r="B284" s="1" t="s">
        <v>363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>
      <c r="A285" s="31" t="s">
        <v>91</v>
      </c>
      <c r="B285" s="1" t="s">
        <v>364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>
      <c r="A286" s="31" t="s">
        <v>91</v>
      </c>
      <c r="B286" s="1" t="s">
        <v>365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>
      <c r="A287" s="31" t="s">
        <v>91</v>
      </c>
      <c r="B287" s="1" t="s">
        <v>366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>
      <c r="A288" s="31" t="s">
        <v>91</v>
      </c>
      <c r="B288" s="1" t="s">
        <v>367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>
      <c r="A289" s="31" t="s">
        <v>91</v>
      </c>
      <c r="B289" s="1" t="s">
        <v>368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>
      <c r="A290" s="31" t="s">
        <v>91</v>
      </c>
      <c r="B290" s="1" t="s">
        <v>369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>
      <c r="A291" s="31" t="s">
        <v>91</v>
      </c>
      <c r="B291" s="1" t="s">
        <v>370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>
      <c r="A292" s="31" t="s">
        <v>91</v>
      </c>
      <c r="B292" s="1" t="s">
        <v>371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>
      <c r="A293" s="31" t="s">
        <v>91</v>
      </c>
      <c r="B293" s="1" t="s">
        <v>372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>
      <c r="A294" s="31" t="s">
        <v>91</v>
      </c>
      <c r="B294" s="1" t="s">
        <v>373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>
      <c r="A295" s="31" t="s">
        <v>91</v>
      </c>
      <c r="B295" s="1" t="s">
        <v>374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>
      <c r="A296" s="31" t="s">
        <v>91</v>
      </c>
      <c r="B296" s="1" t="s">
        <v>375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>
      <c r="A297" s="31" t="s">
        <v>91</v>
      </c>
      <c r="B297" s="1" t="s">
        <v>376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>
      <c r="A298" s="31" t="s">
        <v>91</v>
      </c>
      <c r="B298" s="1" t="s">
        <v>377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>
      <c r="A299" s="31" t="s">
        <v>91</v>
      </c>
      <c r="B299" s="1" t="s">
        <v>378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>
      <c r="A300" s="31" t="s">
        <v>91</v>
      </c>
      <c r="B300" s="1" t="s">
        <v>379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>
      <c r="A301" s="31" t="s">
        <v>91</v>
      </c>
      <c r="B301" s="1" t="s">
        <v>380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>
      <c r="A302" s="31" t="s">
        <v>91</v>
      </c>
      <c r="B302" s="1" t="s">
        <v>381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>
      <c r="A303" s="31" t="s">
        <v>91</v>
      </c>
      <c r="B303" s="1" t="s">
        <v>382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>
      <c r="A304" s="31" t="s">
        <v>91</v>
      </c>
      <c r="B304" s="1" t="s">
        <v>383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>
      <c r="A305" s="31" t="s">
        <v>91</v>
      </c>
      <c r="B305" s="1" t="s">
        <v>384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>
      <c r="A306" s="31" t="s">
        <v>91</v>
      </c>
      <c r="B306" s="1" t="s">
        <v>385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>
      <c r="A307" s="31" t="s">
        <v>91</v>
      </c>
      <c r="B307" s="1" t="s">
        <v>386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>
      <c r="A308" s="31" t="s">
        <v>91</v>
      </c>
      <c r="B308" s="1" t="s">
        <v>387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>
      <c r="A309" s="31" t="s">
        <v>91</v>
      </c>
      <c r="B309" s="1" t="s">
        <v>388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>
      <c r="A310" s="31" t="s">
        <v>91</v>
      </c>
      <c r="B310" s="1" t="s">
        <v>389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>
      <c r="A311" s="31" t="s">
        <v>91</v>
      </c>
      <c r="B311" s="1" t="s">
        <v>390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>
      <c r="A312" s="31" t="s">
        <v>91</v>
      </c>
      <c r="B312" s="1" t="s">
        <v>391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>
      <c r="A313" s="31" t="s">
        <v>91</v>
      </c>
      <c r="B313" s="1" t="s">
        <v>392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>
      <c r="A314" s="31" t="s">
        <v>91</v>
      </c>
      <c r="B314" s="1" t="s">
        <v>393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>
      <c r="A315" s="31" t="s">
        <v>91</v>
      </c>
      <c r="B315" s="1" t="s">
        <v>394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>
      <c r="A316" s="31" t="s">
        <v>91</v>
      </c>
      <c r="B316" s="1" t="s">
        <v>395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>
      <c r="A317" s="31" t="s">
        <v>91</v>
      </c>
      <c r="B317" s="1" t="s">
        <v>396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>
      <c r="A318" s="31" t="s">
        <v>91</v>
      </c>
      <c r="B318" s="1" t="s">
        <v>397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>
      <c r="A319" s="31" t="s">
        <v>91</v>
      </c>
      <c r="B319" s="1" t="s">
        <v>398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>
      <c r="A320" s="31" t="s">
        <v>91</v>
      </c>
      <c r="B320" s="1" t="s">
        <v>399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>
      <c r="A321" s="31" t="s">
        <v>91</v>
      </c>
      <c r="B321" s="1" t="s">
        <v>400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>
      <c r="A322" s="31" t="s">
        <v>91</v>
      </c>
      <c r="B322" s="1" t="s">
        <v>401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>
      <c r="A323" s="31" t="s">
        <v>91</v>
      </c>
      <c r="B323" s="1" t="s">
        <v>402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>
      <c r="A324" s="31" t="s">
        <v>91</v>
      </c>
      <c r="B324" s="1" t="s">
        <v>403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>
      <c r="A325" s="31" t="s">
        <v>91</v>
      </c>
      <c r="B325" s="1" t="s">
        <v>404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>
      <c r="A326" s="31" t="s">
        <v>91</v>
      </c>
      <c r="B326" s="1" t="s">
        <v>405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>
      <c r="A327" s="31" t="s">
        <v>91</v>
      </c>
      <c r="B327" s="1" t="s">
        <v>406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>
      <c r="A328" s="31" t="s">
        <v>91</v>
      </c>
      <c r="B328" s="1" t="s">
        <v>407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>
      <c r="A329" s="31" t="s">
        <v>91</v>
      </c>
      <c r="B329" s="1" t="s">
        <v>408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>
      <c r="A330" s="31" t="s">
        <v>91</v>
      </c>
      <c r="B330" s="1" t="s">
        <v>409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>
      <c r="A331" s="31" t="s">
        <v>91</v>
      </c>
      <c r="B331" s="1" t="s">
        <v>410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>
      <c r="A332" s="31" t="s">
        <v>91</v>
      </c>
      <c r="B332" s="1" t="s">
        <v>411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>
      <c r="A333" s="31" t="s">
        <v>91</v>
      </c>
      <c r="B333" s="1" t="s">
        <v>412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>
      <c r="A334" s="31" t="s">
        <v>91</v>
      </c>
      <c r="B334" s="1" t="s">
        <v>413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>
      <c r="A335" s="31" t="s">
        <v>91</v>
      </c>
      <c r="B335" s="1" t="s">
        <v>414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>
      <c r="A336" s="31" t="s">
        <v>91</v>
      </c>
      <c r="B336" s="1" t="s">
        <v>415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>
      <c r="A337" s="31" t="s">
        <v>91</v>
      </c>
      <c r="B337" s="1" t="s">
        <v>416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>
      <c r="A338" s="31" t="s">
        <v>91</v>
      </c>
      <c r="B338" s="1" t="s">
        <v>417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>
      <c r="A339" s="31" t="s">
        <v>91</v>
      </c>
      <c r="B339" s="1" t="s">
        <v>418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>
      <c r="A340" s="31" t="s">
        <v>91</v>
      </c>
      <c r="B340" s="1" t="s">
        <v>419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>
      <c r="A341" s="31" t="s">
        <v>91</v>
      </c>
      <c r="B341" s="1" t="s">
        <v>420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>
      <c r="A342" s="31" t="s">
        <v>91</v>
      </c>
      <c r="B342" s="1" t="s">
        <v>421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>
      <c r="A343" s="31" t="s">
        <v>91</v>
      </c>
      <c r="B343" s="1" t="s">
        <v>422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>
      <c r="A344" s="31" t="s">
        <v>91</v>
      </c>
      <c r="B344" s="1" t="s">
        <v>423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>
      <c r="A345" s="31" t="s">
        <v>91</v>
      </c>
      <c r="B345" s="1" t="s">
        <v>424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>
      <c r="A346" s="31" t="s">
        <v>91</v>
      </c>
      <c r="B346" s="1" t="s">
        <v>425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>
      <c r="A347" s="31" t="s">
        <v>91</v>
      </c>
      <c r="B347" s="1" t="s">
        <v>426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>
      <c r="A348" s="31" t="s">
        <v>91</v>
      </c>
      <c r="B348" s="1" t="s">
        <v>427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>
      <c r="A349" s="31" t="s">
        <v>91</v>
      </c>
      <c r="B349" s="1" t="s">
        <v>428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>
      <c r="A350" s="31" t="s">
        <v>91</v>
      </c>
      <c r="B350" s="1" t="s">
        <v>429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>
      <c r="A351" s="31" t="s">
        <v>91</v>
      </c>
      <c r="B351" s="1" t="s">
        <v>430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>
      <c r="A352" s="31" t="s">
        <v>91</v>
      </c>
      <c r="B352" s="1" t="s">
        <v>431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>
      <c r="A353" s="31" t="s">
        <v>91</v>
      </c>
      <c r="B353" s="1" t="s">
        <v>432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>
      <c r="A354" s="31" t="s">
        <v>91</v>
      </c>
      <c r="B354" s="1" t="s">
        <v>433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>
      <c r="A355" s="31" t="s">
        <v>91</v>
      </c>
      <c r="B355" s="1" t="s">
        <v>434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>
      <c r="A356" s="31" t="s">
        <v>91</v>
      </c>
      <c r="B356" s="1" t="s">
        <v>435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>
      <c r="A357" s="31" t="s">
        <v>91</v>
      </c>
      <c r="B357" s="1" t="s">
        <v>436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>
      <c r="A358" s="31" t="s">
        <v>91</v>
      </c>
      <c r="B358" s="1" t="s">
        <v>437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>
      <c r="A359" s="31" t="s">
        <v>91</v>
      </c>
      <c r="B359" s="1" t="s">
        <v>438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>
      <c r="A360" s="31" t="s">
        <v>91</v>
      </c>
      <c r="B360" s="1" t="s">
        <v>439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>
      <c r="A361" s="31" t="s">
        <v>91</v>
      </c>
      <c r="B361" s="1" t="s">
        <v>440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>
      <c r="A362" s="31" t="s">
        <v>91</v>
      </c>
      <c r="B362" s="1" t="s">
        <v>441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>
      <c r="A363" s="31" t="s">
        <v>91</v>
      </c>
      <c r="B363" s="1" t="s">
        <v>442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>
      <c r="A364" s="31" t="s">
        <v>91</v>
      </c>
      <c r="B364" s="1" t="s">
        <v>443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>
      <c r="A365" s="31" t="s">
        <v>91</v>
      </c>
      <c r="B365" s="1" t="s">
        <v>444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>
      <c r="A366" s="31" t="s">
        <v>91</v>
      </c>
      <c r="B366" s="1" t="s">
        <v>445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>
      <c r="A367" s="31" t="s">
        <v>91</v>
      </c>
      <c r="B367" s="1" t="s">
        <v>446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>
      <c r="A368" s="31" t="s">
        <v>91</v>
      </c>
      <c r="B368" s="1" t="s">
        <v>447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>
      <c r="A369" s="31" t="s">
        <v>91</v>
      </c>
      <c r="B369" s="1" t="s">
        <v>448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>
      <c r="A370" s="31" t="s">
        <v>91</v>
      </c>
      <c r="B370" s="1" t="s">
        <v>449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>
      <c r="A371" s="31" t="s">
        <v>91</v>
      </c>
      <c r="B371" s="1" t="s">
        <v>450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>
      <c r="A372" s="31" t="s">
        <v>91</v>
      </c>
      <c r="B372" s="1" t="s">
        <v>451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>
      <c r="A373" s="31" t="s">
        <v>91</v>
      </c>
      <c r="B373" s="1" t="s">
        <v>452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>
      <c r="A374" s="31" t="s">
        <v>91</v>
      </c>
      <c r="B374" s="1" t="s">
        <v>453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>
      <c r="A375" s="31" t="s">
        <v>91</v>
      </c>
      <c r="B375" s="1" t="s">
        <v>454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>
      <c r="A376" s="31" t="s">
        <v>91</v>
      </c>
      <c r="B376" s="1" t="s">
        <v>455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>
      <c r="A377" s="31" t="s">
        <v>91</v>
      </c>
      <c r="B377" s="1" t="s">
        <v>456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>
      <c r="A378" s="31" t="s">
        <v>91</v>
      </c>
      <c r="B378" s="1" t="s">
        <v>457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>
      <c r="A379" s="31" t="s">
        <v>91</v>
      </c>
      <c r="B379" s="1" t="s">
        <v>458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>
      <c r="A380" s="31" t="s">
        <v>91</v>
      </c>
      <c r="B380" s="1" t="s">
        <v>459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>
      <c r="A381" s="31" t="s">
        <v>91</v>
      </c>
      <c r="B381" s="1" t="s">
        <v>460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>
      <c r="A382" s="31" t="s">
        <v>91</v>
      </c>
      <c r="B382" s="1" t="s">
        <v>461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>
      <c r="A383" s="31" t="s">
        <v>91</v>
      </c>
      <c r="B383" s="1" t="s">
        <v>462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>
      <c r="A384" s="31" t="s">
        <v>91</v>
      </c>
      <c r="B384" s="1" t="s">
        <v>463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>
      <c r="A385" s="31" t="s">
        <v>91</v>
      </c>
      <c r="B385" s="1" t="s">
        <v>464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>
      <c r="A386" s="31" t="s">
        <v>91</v>
      </c>
      <c r="B386" s="1" t="s">
        <v>465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>
      <c r="A387" s="31" t="s">
        <v>91</v>
      </c>
      <c r="B387" s="1" t="s">
        <v>466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>
      <c r="A388" s="31" t="s">
        <v>91</v>
      </c>
      <c r="B388" s="1" t="s">
        <v>467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>
      <c r="A389" s="31" t="s">
        <v>91</v>
      </c>
      <c r="B389" s="1" t="s">
        <v>468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>
      <c r="A390" s="31" t="s">
        <v>91</v>
      </c>
      <c r="B390" s="1" t="s">
        <v>469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>
      <c r="A391" s="31" t="s">
        <v>91</v>
      </c>
      <c r="B391" s="1" t="s">
        <v>470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>
      <c r="A392" s="31" t="s">
        <v>91</v>
      </c>
      <c r="B392" s="1" t="s">
        <v>471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>
      <c r="A393" s="31" t="s">
        <v>91</v>
      </c>
      <c r="B393" s="1" t="s">
        <v>472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>
      <c r="A394" s="31" t="s">
        <v>91</v>
      </c>
      <c r="B394" s="1" t="s">
        <v>473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>
      <c r="A395" s="31" t="s">
        <v>91</v>
      </c>
      <c r="B395" s="1" t="s">
        <v>474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>
      <c r="A396" s="31" t="s">
        <v>91</v>
      </c>
      <c r="B396" s="1" t="s">
        <v>475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>
      <c r="A397" s="31" t="s">
        <v>91</v>
      </c>
      <c r="B397" s="1" t="s">
        <v>476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>
      <c r="A398" s="31" t="s">
        <v>91</v>
      </c>
      <c r="B398" s="1" t="s">
        <v>477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>
      <c r="A399" s="31" t="s">
        <v>91</v>
      </c>
      <c r="B399" s="1" t="s">
        <v>478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>
      <c r="A400" s="31" t="s">
        <v>91</v>
      </c>
      <c r="B400" s="1" t="s">
        <v>479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>
      <c r="A401" s="31" t="s">
        <v>91</v>
      </c>
      <c r="B401" s="1" t="s">
        <v>480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>
      <c r="A402" s="31" t="s">
        <v>91</v>
      </c>
      <c r="B402" s="1" t="s">
        <v>481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>
      <c r="A403" s="31" t="s">
        <v>91</v>
      </c>
      <c r="B403" s="1" t="s">
        <v>482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>
      <c r="A404" s="31" t="s">
        <v>91</v>
      </c>
      <c r="B404" s="1" t="s">
        <v>483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>
      <c r="A405" s="31" t="s">
        <v>91</v>
      </c>
      <c r="B405" s="1" t="s">
        <v>484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>
      <c r="A406" s="31" t="s">
        <v>91</v>
      </c>
      <c r="B406" s="1" t="s">
        <v>485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>
      <c r="A407" s="31" t="s">
        <v>91</v>
      </c>
      <c r="B407" s="1" t="s">
        <v>486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>
      <c r="A408" s="31" t="s">
        <v>91</v>
      </c>
      <c r="B408" s="1" t="s">
        <v>487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>
      <c r="A409" s="31" t="s">
        <v>91</v>
      </c>
      <c r="B409" s="1" t="s">
        <v>488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>
      <c r="A410" s="31" t="s">
        <v>91</v>
      </c>
      <c r="B410" s="1" t="s">
        <v>489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>
      <c r="A411" s="31" t="s">
        <v>91</v>
      </c>
      <c r="B411" s="1" t="s">
        <v>490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>
      <c r="A412" s="31" t="s">
        <v>91</v>
      </c>
      <c r="B412" s="1" t="s">
        <v>491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>
      <c r="A413" s="31" t="s">
        <v>91</v>
      </c>
      <c r="B413" s="1" t="s">
        <v>492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>
      <c r="A414" s="31" t="s">
        <v>91</v>
      </c>
      <c r="B414" s="1" t="s">
        <v>493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>
      <c r="A415" s="31" t="s">
        <v>91</v>
      </c>
      <c r="B415" s="1" t="s">
        <v>494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>
      <c r="A416" s="31" t="s">
        <v>91</v>
      </c>
      <c r="B416" s="1" t="s">
        <v>495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>
      <c r="A417" s="31" t="s">
        <v>91</v>
      </c>
      <c r="B417" s="1" t="s">
        <v>496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>
      <c r="A418" s="31" t="s">
        <v>91</v>
      </c>
      <c r="B418" s="1" t="s">
        <v>497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>
      <c r="A419" s="31" t="s">
        <v>91</v>
      </c>
      <c r="B419" s="1" t="s">
        <v>498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>
      <c r="A420" s="31" t="s">
        <v>91</v>
      </c>
      <c r="B420" s="1" t="s">
        <v>499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>
      <c r="A421" s="31" t="s">
        <v>91</v>
      </c>
      <c r="B421" s="1" t="s">
        <v>500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>
      <c r="A422" s="31" t="s">
        <v>91</v>
      </c>
      <c r="B422" s="1" t="s">
        <v>501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>
      <c r="A423" s="31" t="s">
        <v>91</v>
      </c>
      <c r="B423" s="1" t="s">
        <v>502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>
      <c r="A424" s="31" t="s">
        <v>91</v>
      </c>
      <c r="B424" s="1" t="s">
        <v>503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>
      <c r="A425" s="31" t="s">
        <v>91</v>
      </c>
      <c r="B425" s="1" t="s">
        <v>504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>
      <c r="A426" s="31" t="s">
        <v>91</v>
      </c>
      <c r="B426" s="1" t="s">
        <v>505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>
      <c r="A427" s="31" t="s">
        <v>91</v>
      </c>
      <c r="B427" s="1" t="s">
        <v>506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>
      <c r="A428" s="31" t="s">
        <v>91</v>
      </c>
      <c r="B428" s="1" t="s">
        <v>507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>
      <c r="A429" s="31" t="s">
        <v>91</v>
      </c>
      <c r="B429" s="1" t="s">
        <v>508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>
      <c r="A430" s="31" t="s">
        <v>91</v>
      </c>
      <c r="B430" s="1" t="s">
        <v>509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>
      <c r="A431" s="31" t="s">
        <v>91</v>
      </c>
      <c r="B431" s="1" t="s">
        <v>510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>
      <c r="A432" s="31" t="s">
        <v>91</v>
      </c>
      <c r="B432" s="1" t="s">
        <v>511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>
      <c r="A433" s="31" t="s">
        <v>91</v>
      </c>
      <c r="B433" s="1" t="s">
        <v>512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>
      <c r="A434" s="31" t="s">
        <v>91</v>
      </c>
      <c r="B434" s="1" t="s">
        <v>513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>
      <c r="A435" s="31" t="s">
        <v>91</v>
      </c>
      <c r="B435" s="1" t="s">
        <v>514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>
      <c r="A436" s="31" t="s">
        <v>91</v>
      </c>
      <c r="B436" s="1" t="s">
        <v>515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>
      <c r="A437" s="31" t="s">
        <v>91</v>
      </c>
      <c r="B437" s="1" t="s">
        <v>516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>
      <c r="A438" s="31" t="s">
        <v>91</v>
      </c>
      <c r="B438" s="1" t="s">
        <v>517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>
      <c r="A439" s="31" t="s">
        <v>91</v>
      </c>
      <c r="B439" s="1" t="s">
        <v>518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>
      <c r="A440" s="31" t="s">
        <v>91</v>
      </c>
      <c r="B440" s="1" t="s">
        <v>519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>
      <c r="A441" s="31" t="s">
        <v>91</v>
      </c>
      <c r="B441" s="1" t="s">
        <v>520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>
      <c r="A442" s="31" t="s">
        <v>91</v>
      </c>
      <c r="B442" s="1" t="s">
        <v>521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>
      <c r="A443" s="31" t="s">
        <v>91</v>
      </c>
      <c r="B443" s="1" t="s">
        <v>522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>
      <c r="A444" s="31" t="s">
        <v>91</v>
      </c>
      <c r="B444" s="1" t="s">
        <v>523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>
      <c r="A445" s="31" t="s">
        <v>91</v>
      </c>
      <c r="B445" s="1" t="s">
        <v>524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>
      <c r="A446" s="31" t="s">
        <v>91</v>
      </c>
      <c r="B446" s="1" t="s">
        <v>525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>
      <c r="A447" s="31" t="s">
        <v>91</v>
      </c>
      <c r="B447" s="1" t="s">
        <v>526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>
      <c r="A448" s="31" t="s">
        <v>91</v>
      </c>
      <c r="B448" s="1" t="s">
        <v>527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>
      <c r="A449" s="31" t="s">
        <v>91</v>
      </c>
      <c r="B449" s="1" t="s">
        <v>528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>
      <c r="A450" s="31" t="s">
        <v>91</v>
      </c>
      <c r="B450" s="1" t="s">
        <v>529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>
      <c r="A451" s="31" t="s">
        <v>91</v>
      </c>
      <c r="B451" s="1" t="s">
        <v>530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>
      <c r="A452" s="31" t="s">
        <v>91</v>
      </c>
      <c r="B452" s="1" t="s">
        <v>531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>
      <c r="A453" s="31" t="s">
        <v>91</v>
      </c>
      <c r="B453" s="1" t="s">
        <v>532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>
      <c r="A454" s="31" t="s">
        <v>91</v>
      </c>
      <c r="B454" s="1" t="s">
        <v>533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>
      <c r="A455" s="31" t="s">
        <v>91</v>
      </c>
      <c r="B455" s="1" t="s">
        <v>534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>
      <c r="A456" s="31" t="s">
        <v>91</v>
      </c>
      <c r="B456" s="1" t="s">
        <v>535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>
      <c r="A457" s="31" t="s">
        <v>91</v>
      </c>
      <c r="B457" s="1" t="s">
        <v>536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>
      <c r="A458" s="31" t="s">
        <v>91</v>
      </c>
      <c r="B458" s="1" t="s">
        <v>537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>
      <c r="A459" s="31" t="s">
        <v>91</v>
      </c>
      <c r="B459" s="1" t="s">
        <v>538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>
      <c r="A460" s="31" t="s">
        <v>91</v>
      </c>
      <c r="B460" s="1" t="s">
        <v>539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>
      <c r="A461" s="31" t="s">
        <v>91</v>
      </c>
      <c r="B461" s="1" t="s">
        <v>540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>
      <c r="A462" s="31" t="s">
        <v>91</v>
      </c>
      <c r="B462" s="1" t="s">
        <v>541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>
      <c r="A463" s="31" t="s">
        <v>91</v>
      </c>
      <c r="B463" s="1" t="s">
        <v>542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>
      <c r="A464" s="31" t="s">
        <v>91</v>
      </c>
      <c r="B464" s="1" t="s">
        <v>543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>
      <c r="A465" s="31" t="s">
        <v>91</v>
      </c>
      <c r="B465" s="1" t="s">
        <v>544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>
      <c r="A466" s="31" t="s">
        <v>91</v>
      </c>
      <c r="B466" s="1" t="s">
        <v>545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>
      <c r="A467" s="31" t="s">
        <v>91</v>
      </c>
      <c r="B467" s="1" t="s">
        <v>546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>
      <c r="A468" s="31" t="s">
        <v>91</v>
      </c>
      <c r="B468" s="1" t="s">
        <v>547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>
      <c r="A469" s="31" t="s">
        <v>91</v>
      </c>
      <c r="B469" s="1" t="s">
        <v>548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>
      <c r="A470" s="31" t="s">
        <v>91</v>
      </c>
      <c r="B470" s="1" t="s">
        <v>549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>
      <c r="A471" s="31" t="s">
        <v>91</v>
      </c>
      <c r="B471" s="1" t="s">
        <v>550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>
      <c r="A472" s="31" t="s">
        <v>91</v>
      </c>
      <c r="B472" s="1" t="s">
        <v>551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>
      <c r="A473" s="31" t="s">
        <v>91</v>
      </c>
      <c r="B473" s="1" t="s">
        <v>552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>
      <c r="A474" s="31" t="s">
        <v>91</v>
      </c>
      <c r="B474" s="1" t="s">
        <v>553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>
      <c r="A475" s="31" t="s">
        <v>91</v>
      </c>
      <c r="B475" s="1" t="s">
        <v>554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>
      <c r="A476" s="31" t="s">
        <v>91</v>
      </c>
      <c r="B476" s="1" t="s">
        <v>555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>
      <c r="A477" s="31" t="s">
        <v>91</v>
      </c>
      <c r="B477" s="1" t="s">
        <v>556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>
      <c r="A478" s="31" t="s">
        <v>91</v>
      </c>
      <c r="B478" s="1" t="s">
        <v>557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>
      <c r="A479" s="31" t="s">
        <v>91</v>
      </c>
      <c r="B479" s="1" t="s">
        <v>558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>
      <c r="A480" s="31" t="s">
        <v>91</v>
      </c>
      <c r="B480" s="1" t="s">
        <v>559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>
      <c r="A481" s="31" t="s">
        <v>91</v>
      </c>
      <c r="B481" s="1" t="s">
        <v>560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>
      <c r="A482" s="31" t="s">
        <v>91</v>
      </c>
      <c r="B482" s="1" t="s">
        <v>561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>
      <c r="A483" s="31" t="s">
        <v>91</v>
      </c>
      <c r="B483" s="1" t="s">
        <v>562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>
      <c r="A484" s="31" t="s">
        <v>91</v>
      </c>
      <c r="B484" s="1" t="s">
        <v>563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>
      <c r="A485" s="31" t="s">
        <v>91</v>
      </c>
      <c r="B485" s="1" t="s">
        <v>564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>
      <c r="A486" s="31" t="s">
        <v>91</v>
      </c>
      <c r="B486" s="1" t="s">
        <v>565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>
      <c r="A487" s="31" t="s">
        <v>91</v>
      </c>
      <c r="B487" s="1" t="s">
        <v>566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>
      <c r="A488" s="31" t="s">
        <v>91</v>
      </c>
      <c r="B488" s="1" t="s">
        <v>567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>
      <c r="A489" s="31" t="s">
        <v>91</v>
      </c>
      <c r="B489" s="1" t="s">
        <v>568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>
      <c r="A490" s="31" t="s">
        <v>91</v>
      </c>
      <c r="B490" s="1" t="s">
        <v>569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>
      <c r="A491" s="31" t="s">
        <v>91</v>
      </c>
      <c r="B491" s="1" t="s">
        <v>570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>
      <c r="A492" s="31" t="s">
        <v>91</v>
      </c>
      <c r="B492" s="1" t="s">
        <v>571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>
      <c r="A493" s="31" t="s">
        <v>91</v>
      </c>
      <c r="B493" s="1" t="s">
        <v>572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>
      <c r="A494" s="31" t="s">
        <v>91</v>
      </c>
      <c r="B494" s="1" t="s">
        <v>573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>
      <c r="A495" s="31" t="s">
        <v>91</v>
      </c>
      <c r="B495" s="1" t="s">
        <v>574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>
      <c r="A496" s="31" t="s">
        <v>91</v>
      </c>
      <c r="B496" s="1" t="s">
        <v>575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>
      <c r="A498" s="31" t="s">
        <v>576</v>
      </c>
      <c r="B498" s="1" t="s">
        <v>577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460">
        <v>391</v>
      </c>
      <c r="N498" s="460">
        <v>334</v>
      </c>
      <c r="O498" s="460">
        <v>374</v>
      </c>
      <c r="P498" s="460">
        <v>393</v>
      </c>
      <c r="Q498" s="460">
        <v>365</v>
      </c>
      <c r="R498" s="460">
        <v>333</v>
      </c>
      <c r="S498" s="460">
        <v>365</v>
      </c>
      <c r="T498" s="460">
        <v>388</v>
      </c>
      <c r="U498" s="460">
        <v>394</v>
      </c>
      <c r="V498" s="460">
        <v>392</v>
      </c>
      <c r="W498" s="460">
        <v>375</v>
      </c>
      <c r="X498" s="460">
        <v>423</v>
      </c>
      <c r="Y498" s="460">
        <v>403</v>
      </c>
      <c r="Z498" s="460">
        <v>425</v>
      </c>
      <c r="AA498" s="460">
        <v>394</v>
      </c>
      <c r="AB498" s="460">
        <v>319</v>
      </c>
      <c r="AC498" s="460">
        <v>337</v>
      </c>
      <c r="AD498" s="460">
        <v>363</v>
      </c>
      <c r="AE498" s="460">
        <v>363</v>
      </c>
      <c r="AF498" s="460">
        <v>317</v>
      </c>
      <c r="AG498" s="460">
        <v>288</v>
      </c>
      <c r="AH498" s="460">
        <v>332</v>
      </c>
      <c r="AI498" s="460">
        <v>374</v>
      </c>
      <c r="AJ498" s="460">
        <v>338</v>
      </c>
      <c r="AK498" s="460">
        <v>389</v>
      </c>
      <c r="AL498" s="460">
        <v>412</v>
      </c>
      <c r="AM498" s="460">
        <v>367</v>
      </c>
      <c r="AN498" s="460">
        <v>361</v>
      </c>
      <c r="AO498" s="460">
        <v>441</v>
      </c>
      <c r="AP498" s="460">
        <v>438</v>
      </c>
      <c r="AQ498" s="460">
        <v>468</v>
      </c>
      <c r="AR498" s="460">
        <v>465</v>
      </c>
      <c r="AS498" s="460">
        <v>442</v>
      </c>
      <c r="AT498" s="460">
        <v>467</v>
      </c>
      <c r="AU498" s="460">
        <v>398</v>
      </c>
      <c r="AV498" s="460">
        <v>423</v>
      </c>
      <c r="AW498" s="460">
        <v>418</v>
      </c>
      <c r="AX498" s="460">
        <v>449</v>
      </c>
      <c r="AY498" s="460">
        <v>389</v>
      </c>
      <c r="AZ498" s="460">
        <v>409</v>
      </c>
      <c r="BA498" s="460">
        <v>365</v>
      </c>
      <c r="BB498" s="460">
        <v>396</v>
      </c>
      <c r="BC498" s="460">
        <v>373</v>
      </c>
      <c r="BD498" s="460">
        <v>369</v>
      </c>
      <c r="BE498" s="460">
        <v>348</v>
      </c>
      <c r="BF498" s="460">
        <v>299</v>
      </c>
      <c r="BG498" s="460">
        <v>345</v>
      </c>
      <c r="BH498" s="460">
        <v>417</v>
      </c>
      <c r="BI498" s="460">
        <v>386</v>
      </c>
      <c r="BJ498" s="460">
        <v>430</v>
      </c>
      <c r="BK498" s="460">
        <v>495</v>
      </c>
      <c r="BL498" s="460">
        <v>469</v>
      </c>
      <c r="BM498" s="460">
        <v>471</v>
      </c>
      <c r="BN498" s="460">
        <v>521</v>
      </c>
      <c r="BO498" s="460">
        <v>498</v>
      </c>
      <c r="BP498" s="460">
        <v>491</v>
      </c>
      <c r="BQ498" s="460">
        <v>525</v>
      </c>
      <c r="BR498" s="460">
        <v>529</v>
      </c>
      <c r="BS498" s="460">
        <v>512</v>
      </c>
      <c r="BT498" s="460">
        <v>493</v>
      </c>
      <c r="BU498" s="460">
        <v>503</v>
      </c>
      <c r="BV498" s="460">
        <v>432</v>
      </c>
      <c r="BW498" s="460">
        <v>445</v>
      </c>
      <c r="BX498" s="460">
        <v>434</v>
      </c>
      <c r="BY498" s="460">
        <v>364</v>
      </c>
      <c r="BZ498" s="460">
        <v>441</v>
      </c>
      <c r="CA498" s="460">
        <v>389</v>
      </c>
      <c r="CB498" s="460">
        <v>372</v>
      </c>
      <c r="CC498" s="460">
        <v>364</v>
      </c>
      <c r="CD498" s="460">
        <v>375</v>
      </c>
      <c r="CE498" s="460">
        <v>341</v>
      </c>
      <c r="CF498" s="460">
        <v>358</v>
      </c>
      <c r="CG498" s="460">
        <v>351</v>
      </c>
      <c r="CH498" s="460">
        <v>359</v>
      </c>
      <c r="CI498" s="460">
        <v>343</v>
      </c>
      <c r="CJ498" s="460">
        <v>401</v>
      </c>
      <c r="CK498" s="460">
        <v>297</v>
      </c>
      <c r="CL498" s="460">
        <v>262</v>
      </c>
      <c r="CM498" s="460">
        <v>235</v>
      </c>
      <c r="CN498" s="460">
        <v>261</v>
      </c>
      <c r="CO498" s="460">
        <v>210</v>
      </c>
      <c r="CP498" s="460">
        <v>179</v>
      </c>
      <c r="CQ498" s="460">
        <v>155</v>
      </c>
      <c r="CR498" s="460">
        <v>164</v>
      </c>
      <c r="CS498" s="460">
        <v>135</v>
      </c>
      <c r="CT498" s="460">
        <v>101</v>
      </c>
      <c r="CU498" s="460">
        <v>100</v>
      </c>
      <c r="CV498" s="460">
        <v>87</v>
      </c>
      <c r="CW498" s="460">
        <v>55</v>
      </c>
      <c r="CX498" s="460">
        <v>58</v>
      </c>
      <c r="CY498" s="460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>
      <c r="A499" s="31" t="s">
        <v>79</v>
      </c>
      <c r="B499" s="1" t="s">
        <v>578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460">
        <v>731</v>
      </c>
      <c r="N499" s="460">
        <v>689</v>
      </c>
      <c r="O499" s="460">
        <v>714</v>
      </c>
      <c r="P499" s="460">
        <v>751</v>
      </c>
      <c r="Q499" s="460">
        <v>788</v>
      </c>
      <c r="R499" s="460">
        <v>823</v>
      </c>
      <c r="S499" s="460">
        <v>811</v>
      </c>
      <c r="T499" s="460">
        <v>852</v>
      </c>
      <c r="U499" s="460">
        <v>862</v>
      </c>
      <c r="V499" s="460">
        <v>879</v>
      </c>
      <c r="W499" s="460">
        <v>884</v>
      </c>
      <c r="X499" s="460">
        <v>978</v>
      </c>
      <c r="Y499" s="460">
        <v>895</v>
      </c>
      <c r="Z499" s="460">
        <v>924</v>
      </c>
      <c r="AA499" s="460">
        <v>890</v>
      </c>
      <c r="AB499" s="460">
        <v>868</v>
      </c>
      <c r="AC499" s="460">
        <v>836</v>
      </c>
      <c r="AD499" s="460">
        <v>905</v>
      </c>
      <c r="AE499" s="460">
        <v>777</v>
      </c>
      <c r="AF499" s="460">
        <v>641</v>
      </c>
      <c r="AG499" s="460">
        <v>674</v>
      </c>
      <c r="AH499" s="460">
        <v>686</v>
      </c>
      <c r="AI499" s="460">
        <v>727</v>
      </c>
      <c r="AJ499" s="460">
        <v>840</v>
      </c>
      <c r="AK499" s="460">
        <v>858</v>
      </c>
      <c r="AL499" s="460">
        <v>945</v>
      </c>
      <c r="AM499" s="460">
        <v>890</v>
      </c>
      <c r="AN499" s="460">
        <v>816</v>
      </c>
      <c r="AO499" s="460">
        <v>944</v>
      </c>
      <c r="AP499" s="460">
        <v>857</v>
      </c>
      <c r="AQ499" s="460">
        <v>968</v>
      </c>
      <c r="AR499" s="460">
        <v>910</v>
      </c>
      <c r="AS499" s="460">
        <v>982</v>
      </c>
      <c r="AT499" s="460">
        <v>986</v>
      </c>
      <c r="AU499" s="460">
        <v>996</v>
      </c>
      <c r="AV499" s="460">
        <v>984</v>
      </c>
      <c r="AW499" s="460">
        <v>944</v>
      </c>
      <c r="AX499" s="460">
        <v>937</v>
      </c>
      <c r="AY499" s="460">
        <v>874</v>
      </c>
      <c r="AZ499" s="460">
        <v>882</v>
      </c>
      <c r="BA499" s="460">
        <v>860</v>
      </c>
      <c r="BB499" s="460">
        <v>916</v>
      </c>
      <c r="BC499" s="460">
        <v>935</v>
      </c>
      <c r="BD499" s="460">
        <v>885</v>
      </c>
      <c r="BE499" s="460">
        <v>798</v>
      </c>
      <c r="BF499" s="460">
        <v>764</v>
      </c>
      <c r="BG499" s="460">
        <v>821</v>
      </c>
      <c r="BH499" s="460">
        <v>816</v>
      </c>
      <c r="BI499" s="460">
        <v>884</v>
      </c>
      <c r="BJ499" s="460">
        <v>901</v>
      </c>
      <c r="BK499" s="460">
        <v>1009</v>
      </c>
      <c r="BL499" s="460">
        <v>1091</v>
      </c>
      <c r="BM499" s="460">
        <v>977</v>
      </c>
      <c r="BN499" s="460">
        <v>1017</v>
      </c>
      <c r="BO499" s="460">
        <v>1078</v>
      </c>
      <c r="BP499" s="460">
        <v>1056</v>
      </c>
      <c r="BQ499" s="460">
        <v>1081</v>
      </c>
      <c r="BR499" s="460">
        <v>1062</v>
      </c>
      <c r="BS499" s="460">
        <v>1067</v>
      </c>
      <c r="BT499" s="460">
        <v>1000</v>
      </c>
      <c r="BU499" s="460">
        <v>1035</v>
      </c>
      <c r="BV499" s="460">
        <v>984</v>
      </c>
      <c r="BW499" s="460">
        <v>918</v>
      </c>
      <c r="BX499" s="460">
        <v>903</v>
      </c>
      <c r="BY499" s="460">
        <v>907</v>
      </c>
      <c r="BZ499" s="460">
        <v>835</v>
      </c>
      <c r="CA499" s="460">
        <v>831</v>
      </c>
      <c r="CB499" s="460">
        <v>766</v>
      </c>
      <c r="CC499" s="460">
        <v>742</v>
      </c>
      <c r="CD499" s="460">
        <v>776</v>
      </c>
      <c r="CE499" s="460">
        <v>736</v>
      </c>
      <c r="CF499" s="460">
        <v>767</v>
      </c>
      <c r="CG499" s="460">
        <v>726</v>
      </c>
      <c r="CH499" s="460">
        <v>780</v>
      </c>
      <c r="CI499" s="460">
        <v>754</v>
      </c>
      <c r="CJ499" s="460">
        <v>809</v>
      </c>
      <c r="CK499" s="460">
        <v>632</v>
      </c>
      <c r="CL499" s="460">
        <v>617</v>
      </c>
      <c r="CM499" s="460">
        <v>572</v>
      </c>
      <c r="CN499" s="460">
        <v>506</v>
      </c>
      <c r="CO499" s="460">
        <v>443</v>
      </c>
      <c r="CP499" s="460">
        <v>449</v>
      </c>
      <c r="CQ499" s="460">
        <v>367</v>
      </c>
      <c r="CR499" s="460">
        <v>336</v>
      </c>
      <c r="CS499" s="460">
        <v>314</v>
      </c>
      <c r="CT499" s="460">
        <v>257</v>
      </c>
      <c r="CU499" s="460">
        <v>226</v>
      </c>
      <c r="CV499" s="460">
        <v>223</v>
      </c>
      <c r="CW499" s="460">
        <v>154</v>
      </c>
      <c r="CX499" s="460">
        <v>144</v>
      </c>
      <c r="CY499" s="460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>
      <c r="A500" s="31" t="s">
        <v>79</v>
      </c>
      <c r="B500" s="1" t="s">
        <v>579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460">
        <v>834</v>
      </c>
      <c r="N500" s="460">
        <v>824</v>
      </c>
      <c r="O500" s="460">
        <v>908</v>
      </c>
      <c r="P500" s="460">
        <v>935</v>
      </c>
      <c r="Q500" s="460">
        <v>1007</v>
      </c>
      <c r="R500" s="460">
        <v>996</v>
      </c>
      <c r="S500" s="460">
        <v>1029</v>
      </c>
      <c r="T500" s="460">
        <v>1072</v>
      </c>
      <c r="U500" s="460">
        <v>1068</v>
      </c>
      <c r="V500" s="460">
        <v>1056</v>
      </c>
      <c r="W500" s="460">
        <v>1069</v>
      </c>
      <c r="X500" s="460">
        <v>1095</v>
      </c>
      <c r="Y500" s="460">
        <v>1148</v>
      </c>
      <c r="Z500" s="460">
        <v>1126</v>
      </c>
      <c r="AA500" s="460">
        <v>1141</v>
      </c>
      <c r="AB500" s="460">
        <v>1053</v>
      </c>
      <c r="AC500" s="460">
        <v>1026</v>
      </c>
      <c r="AD500" s="460">
        <v>1028</v>
      </c>
      <c r="AE500" s="460">
        <v>1108</v>
      </c>
      <c r="AF500" s="460">
        <v>875</v>
      </c>
      <c r="AG500" s="460">
        <v>817</v>
      </c>
      <c r="AH500" s="460">
        <v>888</v>
      </c>
      <c r="AI500" s="460">
        <v>942</v>
      </c>
      <c r="AJ500" s="460">
        <v>891</v>
      </c>
      <c r="AK500" s="460">
        <v>901</v>
      </c>
      <c r="AL500" s="460">
        <v>1103</v>
      </c>
      <c r="AM500" s="460">
        <v>1005</v>
      </c>
      <c r="AN500" s="460">
        <v>987</v>
      </c>
      <c r="AO500" s="460">
        <v>1032</v>
      </c>
      <c r="AP500" s="460">
        <v>1030</v>
      </c>
      <c r="AQ500" s="460">
        <v>1074</v>
      </c>
      <c r="AR500" s="460">
        <v>1182</v>
      </c>
      <c r="AS500" s="460">
        <v>1115</v>
      </c>
      <c r="AT500" s="460">
        <v>1132</v>
      </c>
      <c r="AU500" s="460">
        <v>1167</v>
      </c>
      <c r="AV500" s="460">
        <v>1071</v>
      </c>
      <c r="AW500" s="460">
        <v>1140</v>
      </c>
      <c r="AX500" s="460">
        <v>1077</v>
      </c>
      <c r="AY500" s="460">
        <v>1079</v>
      </c>
      <c r="AZ500" s="460">
        <v>1060</v>
      </c>
      <c r="BA500" s="460">
        <v>1012</v>
      </c>
      <c r="BB500" s="460">
        <v>1070</v>
      </c>
      <c r="BC500" s="460">
        <v>1085</v>
      </c>
      <c r="BD500" s="460">
        <v>1002</v>
      </c>
      <c r="BE500" s="460">
        <v>958</v>
      </c>
      <c r="BF500" s="460">
        <v>997</v>
      </c>
      <c r="BG500" s="460">
        <v>992</v>
      </c>
      <c r="BH500" s="460">
        <v>988</v>
      </c>
      <c r="BI500" s="460">
        <v>1077</v>
      </c>
      <c r="BJ500" s="460">
        <v>1113</v>
      </c>
      <c r="BK500" s="460">
        <v>1157</v>
      </c>
      <c r="BL500" s="460">
        <v>1232</v>
      </c>
      <c r="BM500" s="460">
        <v>1129</v>
      </c>
      <c r="BN500" s="460">
        <v>1299</v>
      </c>
      <c r="BO500" s="460">
        <v>1259</v>
      </c>
      <c r="BP500" s="460">
        <v>1214</v>
      </c>
      <c r="BQ500" s="460">
        <v>1265</v>
      </c>
      <c r="BR500" s="460">
        <v>1277</v>
      </c>
      <c r="BS500" s="460">
        <v>1255</v>
      </c>
      <c r="BT500" s="460">
        <v>1273</v>
      </c>
      <c r="BU500" s="460">
        <v>1181</v>
      </c>
      <c r="BV500" s="460">
        <v>1146</v>
      </c>
      <c r="BW500" s="460">
        <v>1118</v>
      </c>
      <c r="BX500" s="460">
        <v>1064</v>
      </c>
      <c r="BY500" s="460">
        <v>1058</v>
      </c>
      <c r="BZ500" s="460">
        <v>1029</v>
      </c>
      <c r="CA500" s="460">
        <v>925</v>
      </c>
      <c r="CB500" s="460">
        <v>870</v>
      </c>
      <c r="CC500" s="460">
        <v>989</v>
      </c>
      <c r="CD500" s="460">
        <v>948</v>
      </c>
      <c r="CE500" s="460">
        <v>880</v>
      </c>
      <c r="CF500" s="460">
        <v>910</v>
      </c>
      <c r="CG500" s="460">
        <v>938</v>
      </c>
      <c r="CH500" s="460">
        <v>837</v>
      </c>
      <c r="CI500" s="460">
        <v>970</v>
      </c>
      <c r="CJ500" s="460">
        <v>989</v>
      </c>
      <c r="CK500" s="460">
        <v>740</v>
      </c>
      <c r="CL500" s="460">
        <v>691</v>
      </c>
      <c r="CM500" s="460">
        <v>645</v>
      </c>
      <c r="CN500" s="460">
        <v>570</v>
      </c>
      <c r="CO500" s="460">
        <v>578</v>
      </c>
      <c r="CP500" s="460">
        <v>442</v>
      </c>
      <c r="CQ500" s="460">
        <v>426</v>
      </c>
      <c r="CR500" s="460">
        <v>410</v>
      </c>
      <c r="CS500" s="460">
        <v>355</v>
      </c>
      <c r="CT500" s="460">
        <v>296</v>
      </c>
      <c r="CU500" s="460">
        <v>259</v>
      </c>
      <c r="CV500" s="460">
        <v>215</v>
      </c>
      <c r="CW500" s="460">
        <v>176</v>
      </c>
      <c r="CX500" s="460">
        <v>150</v>
      </c>
      <c r="CY500" s="460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>
      <c r="A501" s="31" t="s">
        <v>79</v>
      </c>
      <c r="B501" s="1" t="s">
        <v>580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460">
        <v>1950</v>
      </c>
      <c r="N501" s="460">
        <v>1875</v>
      </c>
      <c r="O501" s="460">
        <v>1880</v>
      </c>
      <c r="P501" s="460">
        <v>1977</v>
      </c>
      <c r="Q501" s="460">
        <v>2035</v>
      </c>
      <c r="R501" s="460">
        <v>2099</v>
      </c>
      <c r="S501" s="460">
        <v>2234</v>
      </c>
      <c r="T501" s="460">
        <v>2194</v>
      </c>
      <c r="U501" s="460">
        <v>2213</v>
      </c>
      <c r="V501" s="460">
        <v>2181</v>
      </c>
      <c r="W501" s="460">
        <v>2303</v>
      </c>
      <c r="X501" s="460">
        <v>2380</v>
      </c>
      <c r="Y501" s="460">
        <v>2271</v>
      </c>
      <c r="Z501" s="460">
        <v>2188</v>
      </c>
      <c r="AA501" s="460">
        <v>2173</v>
      </c>
      <c r="AB501" s="460">
        <v>2117</v>
      </c>
      <c r="AC501" s="460">
        <v>2130</v>
      </c>
      <c r="AD501" s="460">
        <v>2130</v>
      </c>
      <c r="AE501" s="460">
        <v>2327</v>
      </c>
      <c r="AF501" s="460">
        <v>4164</v>
      </c>
      <c r="AG501" s="460">
        <v>4565</v>
      </c>
      <c r="AH501" s="460">
        <v>4249</v>
      </c>
      <c r="AI501" s="460">
        <v>3797</v>
      </c>
      <c r="AJ501" s="460">
        <v>3628</v>
      </c>
      <c r="AK501" s="460">
        <v>3513</v>
      </c>
      <c r="AL501" s="460">
        <v>3439</v>
      </c>
      <c r="AM501" s="460">
        <v>3420</v>
      </c>
      <c r="AN501" s="460">
        <v>3228</v>
      </c>
      <c r="AO501" s="460">
        <v>3077</v>
      </c>
      <c r="AP501" s="460">
        <v>2999</v>
      </c>
      <c r="AQ501" s="460">
        <v>2824</v>
      </c>
      <c r="AR501" s="460">
        <v>2846</v>
      </c>
      <c r="AS501" s="460">
        <v>2776</v>
      </c>
      <c r="AT501" s="460">
        <v>2588</v>
      </c>
      <c r="AU501" s="460">
        <v>2705</v>
      </c>
      <c r="AV501" s="460">
        <v>2608</v>
      </c>
      <c r="AW501" s="460">
        <v>2669</v>
      </c>
      <c r="AX501" s="460">
        <v>2467</v>
      </c>
      <c r="AY501" s="460">
        <v>2494</v>
      </c>
      <c r="AZ501" s="460">
        <v>2498</v>
      </c>
      <c r="BA501" s="460">
        <v>2343</v>
      </c>
      <c r="BB501" s="460">
        <v>2361</v>
      </c>
      <c r="BC501" s="460">
        <v>2324</v>
      </c>
      <c r="BD501" s="460">
        <v>2260</v>
      </c>
      <c r="BE501" s="460">
        <v>2022</v>
      </c>
      <c r="BF501" s="460">
        <v>2128</v>
      </c>
      <c r="BG501" s="460">
        <v>2019</v>
      </c>
      <c r="BH501" s="460">
        <v>2027</v>
      </c>
      <c r="BI501" s="460">
        <v>2070</v>
      </c>
      <c r="BJ501" s="460">
        <v>1928</v>
      </c>
      <c r="BK501" s="460">
        <v>1966</v>
      </c>
      <c r="BL501" s="460">
        <v>2100</v>
      </c>
      <c r="BM501" s="460">
        <v>2061</v>
      </c>
      <c r="BN501" s="460">
        <v>2078</v>
      </c>
      <c r="BO501" s="460">
        <v>1992</v>
      </c>
      <c r="BP501" s="460">
        <v>2070</v>
      </c>
      <c r="BQ501" s="460">
        <v>1888</v>
      </c>
      <c r="BR501" s="460">
        <v>2027</v>
      </c>
      <c r="BS501" s="460">
        <v>1976</v>
      </c>
      <c r="BT501" s="460">
        <v>1918</v>
      </c>
      <c r="BU501" s="460">
        <v>1994</v>
      </c>
      <c r="BV501" s="460">
        <v>1814</v>
      </c>
      <c r="BW501" s="460">
        <v>1830</v>
      </c>
      <c r="BX501" s="460">
        <v>1808</v>
      </c>
      <c r="BY501" s="460">
        <v>1654</v>
      </c>
      <c r="BZ501" s="460">
        <v>1666</v>
      </c>
      <c r="CA501" s="460">
        <v>1538</v>
      </c>
      <c r="CB501" s="460">
        <v>1449</v>
      </c>
      <c r="CC501" s="460">
        <v>1467</v>
      </c>
      <c r="CD501" s="460">
        <v>1364</v>
      </c>
      <c r="CE501" s="460">
        <v>1286</v>
      </c>
      <c r="CF501" s="460">
        <v>1359</v>
      </c>
      <c r="CG501" s="460">
        <v>1353</v>
      </c>
      <c r="CH501" s="460">
        <v>1306</v>
      </c>
      <c r="CI501" s="460">
        <v>1244</v>
      </c>
      <c r="CJ501" s="460">
        <v>1342</v>
      </c>
      <c r="CK501" s="460">
        <v>991</v>
      </c>
      <c r="CL501" s="460">
        <v>942</v>
      </c>
      <c r="CM501" s="460">
        <v>905</v>
      </c>
      <c r="CN501" s="460">
        <v>742</v>
      </c>
      <c r="CO501" s="460">
        <v>691</v>
      </c>
      <c r="CP501" s="460">
        <v>611</v>
      </c>
      <c r="CQ501" s="460">
        <v>589</v>
      </c>
      <c r="CR501" s="460">
        <v>538</v>
      </c>
      <c r="CS501" s="460">
        <v>490</v>
      </c>
      <c r="CT501" s="460">
        <v>446</v>
      </c>
      <c r="CU501" s="460">
        <v>394</v>
      </c>
      <c r="CV501" s="460">
        <v>368</v>
      </c>
      <c r="CW501" s="460">
        <v>281</v>
      </c>
      <c r="CX501" s="460">
        <v>249</v>
      </c>
      <c r="CY501" s="460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>
      <c r="A502" s="31" t="s">
        <v>79</v>
      </c>
      <c r="B502" s="1" t="s">
        <v>581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460">
        <v>856</v>
      </c>
      <c r="N502" s="460">
        <v>866</v>
      </c>
      <c r="O502" s="460">
        <v>854</v>
      </c>
      <c r="P502" s="460">
        <v>934</v>
      </c>
      <c r="Q502" s="460">
        <v>976</v>
      </c>
      <c r="R502" s="460">
        <v>1016</v>
      </c>
      <c r="S502" s="460">
        <v>1068</v>
      </c>
      <c r="T502" s="460">
        <v>1057</v>
      </c>
      <c r="U502" s="460">
        <v>1032</v>
      </c>
      <c r="V502" s="460">
        <v>1077</v>
      </c>
      <c r="W502" s="460">
        <v>1158</v>
      </c>
      <c r="X502" s="460">
        <v>1168</v>
      </c>
      <c r="Y502" s="460">
        <v>1148</v>
      </c>
      <c r="Z502" s="460">
        <v>1099</v>
      </c>
      <c r="AA502" s="460">
        <v>1137</v>
      </c>
      <c r="AB502" s="460">
        <v>1146</v>
      </c>
      <c r="AC502" s="460">
        <v>1150</v>
      </c>
      <c r="AD502" s="460">
        <v>1098</v>
      </c>
      <c r="AE502" s="460">
        <v>1071</v>
      </c>
      <c r="AF502" s="460">
        <v>898</v>
      </c>
      <c r="AG502" s="460">
        <v>829</v>
      </c>
      <c r="AH502" s="460">
        <v>834</v>
      </c>
      <c r="AI502" s="460">
        <v>847</v>
      </c>
      <c r="AJ502" s="460">
        <v>907</v>
      </c>
      <c r="AK502" s="460">
        <v>957</v>
      </c>
      <c r="AL502" s="460">
        <v>1013</v>
      </c>
      <c r="AM502" s="460">
        <v>1000</v>
      </c>
      <c r="AN502" s="460">
        <v>923</v>
      </c>
      <c r="AO502" s="460">
        <v>977</v>
      </c>
      <c r="AP502" s="460">
        <v>975</v>
      </c>
      <c r="AQ502" s="460">
        <v>1005</v>
      </c>
      <c r="AR502" s="460">
        <v>1049</v>
      </c>
      <c r="AS502" s="460">
        <v>1077</v>
      </c>
      <c r="AT502" s="460">
        <v>1035</v>
      </c>
      <c r="AU502" s="460">
        <v>1116</v>
      </c>
      <c r="AV502" s="460">
        <v>1060</v>
      </c>
      <c r="AW502" s="460">
        <v>1050</v>
      </c>
      <c r="AX502" s="460">
        <v>991</v>
      </c>
      <c r="AY502" s="460">
        <v>1021</v>
      </c>
      <c r="AZ502" s="460">
        <v>1015</v>
      </c>
      <c r="BA502" s="460">
        <v>996</v>
      </c>
      <c r="BB502" s="460">
        <v>1033</v>
      </c>
      <c r="BC502" s="460">
        <v>1042</v>
      </c>
      <c r="BD502" s="460">
        <v>1003</v>
      </c>
      <c r="BE502" s="460">
        <v>929</v>
      </c>
      <c r="BF502" s="460">
        <v>918</v>
      </c>
      <c r="BG502" s="460">
        <v>1008</v>
      </c>
      <c r="BH502" s="460">
        <v>1037</v>
      </c>
      <c r="BI502" s="460">
        <v>1074</v>
      </c>
      <c r="BJ502" s="460">
        <v>1130</v>
      </c>
      <c r="BK502" s="460">
        <v>1203</v>
      </c>
      <c r="BL502" s="460">
        <v>1281</v>
      </c>
      <c r="BM502" s="460">
        <v>1243</v>
      </c>
      <c r="BN502" s="460">
        <v>1231</v>
      </c>
      <c r="BO502" s="460">
        <v>1260</v>
      </c>
      <c r="BP502" s="460">
        <v>1356</v>
      </c>
      <c r="BQ502" s="460">
        <v>1372</v>
      </c>
      <c r="BR502" s="460">
        <v>1413</v>
      </c>
      <c r="BS502" s="460">
        <v>1455</v>
      </c>
      <c r="BT502" s="460">
        <v>1317</v>
      </c>
      <c r="BU502" s="460">
        <v>1416</v>
      </c>
      <c r="BV502" s="460">
        <v>1373</v>
      </c>
      <c r="BW502" s="460">
        <v>1349</v>
      </c>
      <c r="BX502" s="460">
        <v>1279</v>
      </c>
      <c r="BY502" s="460">
        <v>1311</v>
      </c>
      <c r="BZ502" s="460">
        <v>1261</v>
      </c>
      <c r="CA502" s="460">
        <v>1172</v>
      </c>
      <c r="CB502" s="460">
        <v>1270</v>
      </c>
      <c r="CC502" s="460">
        <v>1212</v>
      </c>
      <c r="CD502" s="460">
        <v>1197</v>
      </c>
      <c r="CE502" s="460">
        <v>1164</v>
      </c>
      <c r="CF502" s="460">
        <v>1112</v>
      </c>
      <c r="CG502" s="460">
        <v>1141</v>
      </c>
      <c r="CH502" s="460">
        <v>1175</v>
      </c>
      <c r="CI502" s="460">
        <v>1186</v>
      </c>
      <c r="CJ502" s="460">
        <v>1175</v>
      </c>
      <c r="CK502" s="460">
        <v>999</v>
      </c>
      <c r="CL502" s="460">
        <v>920</v>
      </c>
      <c r="CM502" s="460">
        <v>863</v>
      </c>
      <c r="CN502" s="460">
        <v>789</v>
      </c>
      <c r="CO502" s="460">
        <v>736</v>
      </c>
      <c r="CP502" s="460">
        <v>619</v>
      </c>
      <c r="CQ502" s="460">
        <v>561</v>
      </c>
      <c r="CR502" s="460">
        <v>506</v>
      </c>
      <c r="CS502" s="460">
        <v>445</v>
      </c>
      <c r="CT502" s="460">
        <v>454</v>
      </c>
      <c r="CU502" s="460">
        <v>361</v>
      </c>
      <c r="CV502" s="460">
        <v>330</v>
      </c>
      <c r="CW502" s="460">
        <v>265</v>
      </c>
      <c r="CX502" s="460">
        <v>198</v>
      </c>
      <c r="CY502" s="460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>
      <c r="A503" s="31" t="s">
        <v>79</v>
      </c>
      <c r="B503" s="1" t="s">
        <v>582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460">
        <v>276</v>
      </c>
      <c r="N503" s="460">
        <v>237</v>
      </c>
      <c r="O503" s="460">
        <v>271</v>
      </c>
      <c r="P503" s="460">
        <v>294</v>
      </c>
      <c r="Q503" s="460">
        <v>285</v>
      </c>
      <c r="R503" s="460">
        <v>312</v>
      </c>
      <c r="S503" s="460">
        <v>341</v>
      </c>
      <c r="T503" s="460">
        <v>317</v>
      </c>
      <c r="U503" s="460">
        <v>309</v>
      </c>
      <c r="V503" s="460">
        <v>360</v>
      </c>
      <c r="W503" s="460">
        <v>360</v>
      </c>
      <c r="X503" s="460">
        <v>370</v>
      </c>
      <c r="Y503" s="460">
        <v>368</v>
      </c>
      <c r="Z503" s="460">
        <v>326</v>
      </c>
      <c r="AA503" s="460">
        <v>334</v>
      </c>
      <c r="AB503" s="460">
        <v>346</v>
      </c>
      <c r="AC503" s="460">
        <v>355</v>
      </c>
      <c r="AD503" s="460">
        <v>378</v>
      </c>
      <c r="AE503" s="460">
        <v>435</v>
      </c>
      <c r="AF503" s="460">
        <v>855</v>
      </c>
      <c r="AG503" s="460">
        <v>809</v>
      </c>
      <c r="AH503" s="460">
        <v>767</v>
      </c>
      <c r="AI503" s="460">
        <v>615</v>
      </c>
      <c r="AJ503" s="460">
        <v>548</v>
      </c>
      <c r="AK503" s="460">
        <v>432</v>
      </c>
      <c r="AL503" s="460">
        <v>350</v>
      </c>
      <c r="AM503" s="460">
        <v>336</v>
      </c>
      <c r="AN503" s="460">
        <v>361</v>
      </c>
      <c r="AO503" s="460">
        <v>363</v>
      </c>
      <c r="AP503" s="460">
        <v>307</v>
      </c>
      <c r="AQ503" s="460">
        <v>338</v>
      </c>
      <c r="AR503" s="460">
        <v>347</v>
      </c>
      <c r="AS503" s="460">
        <v>354</v>
      </c>
      <c r="AT503" s="460">
        <v>356</v>
      </c>
      <c r="AU503" s="460">
        <v>352</v>
      </c>
      <c r="AV503" s="460">
        <v>311</v>
      </c>
      <c r="AW503" s="460">
        <v>316</v>
      </c>
      <c r="AX503" s="460">
        <v>334</v>
      </c>
      <c r="AY503" s="460">
        <v>320</v>
      </c>
      <c r="AZ503" s="460">
        <v>335</v>
      </c>
      <c r="BA503" s="460">
        <v>353</v>
      </c>
      <c r="BB503" s="460">
        <v>347</v>
      </c>
      <c r="BC503" s="460">
        <v>316</v>
      </c>
      <c r="BD503" s="460">
        <v>308</v>
      </c>
      <c r="BE503" s="460">
        <v>280</v>
      </c>
      <c r="BF503" s="460">
        <v>309</v>
      </c>
      <c r="BG503" s="460">
        <v>342</v>
      </c>
      <c r="BH503" s="460">
        <v>348</v>
      </c>
      <c r="BI503" s="460">
        <v>356</v>
      </c>
      <c r="BJ503" s="460">
        <v>339</v>
      </c>
      <c r="BK503" s="460">
        <v>402</v>
      </c>
      <c r="BL503" s="460">
        <v>431</v>
      </c>
      <c r="BM503" s="460">
        <v>435</v>
      </c>
      <c r="BN503" s="460">
        <v>504</v>
      </c>
      <c r="BO503" s="460">
        <v>475</v>
      </c>
      <c r="BP503" s="460">
        <v>496</v>
      </c>
      <c r="BQ503" s="460">
        <v>511</v>
      </c>
      <c r="BR503" s="460">
        <v>501</v>
      </c>
      <c r="BS503" s="460">
        <v>541</v>
      </c>
      <c r="BT503" s="460">
        <v>553</v>
      </c>
      <c r="BU503" s="460">
        <v>538</v>
      </c>
      <c r="BV503" s="460">
        <v>517</v>
      </c>
      <c r="BW503" s="460">
        <v>495</v>
      </c>
      <c r="BX503" s="460">
        <v>529</v>
      </c>
      <c r="BY503" s="460">
        <v>518</v>
      </c>
      <c r="BZ503" s="460">
        <v>495</v>
      </c>
      <c r="CA503" s="460">
        <v>519</v>
      </c>
      <c r="CB503" s="460">
        <v>491</v>
      </c>
      <c r="CC503" s="460">
        <v>490</v>
      </c>
      <c r="CD503" s="460">
        <v>448</v>
      </c>
      <c r="CE503" s="460">
        <v>472</v>
      </c>
      <c r="CF503" s="460">
        <v>453</v>
      </c>
      <c r="CG503" s="460">
        <v>454</v>
      </c>
      <c r="CH503" s="460">
        <v>509</v>
      </c>
      <c r="CI503" s="460">
        <v>531</v>
      </c>
      <c r="CJ503" s="460">
        <v>500</v>
      </c>
      <c r="CK503" s="460">
        <v>376</v>
      </c>
      <c r="CL503" s="460">
        <v>376</v>
      </c>
      <c r="CM503" s="460">
        <v>354</v>
      </c>
      <c r="CN503" s="460">
        <v>347</v>
      </c>
      <c r="CO503" s="460">
        <v>289</v>
      </c>
      <c r="CP503" s="460">
        <v>213</v>
      </c>
      <c r="CQ503" s="460">
        <v>241</v>
      </c>
      <c r="CR503" s="460">
        <v>198</v>
      </c>
      <c r="CS503" s="460">
        <v>175</v>
      </c>
      <c r="CT503" s="460">
        <v>168</v>
      </c>
      <c r="CU503" s="460">
        <v>134</v>
      </c>
      <c r="CV503" s="460">
        <v>115</v>
      </c>
      <c r="CW503" s="460">
        <v>97</v>
      </c>
      <c r="CX503" s="460">
        <v>84</v>
      </c>
      <c r="CY503" s="460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>
      <c r="A504" s="31" t="s">
        <v>79</v>
      </c>
      <c r="B504" s="1" t="s">
        <v>583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460">
        <v>483</v>
      </c>
      <c r="N504" s="460">
        <v>469</v>
      </c>
      <c r="O504" s="460">
        <v>522</v>
      </c>
      <c r="P504" s="460">
        <v>523</v>
      </c>
      <c r="Q504" s="460">
        <v>549</v>
      </c>
      <c r="R504" s="460">
        <v>540</v>
      </c>
      <c r="S504" s="460">
        <v>563</v>
      </c>
      <c r="T504" s="460">
        <v>620</v>
      </c>
      <c r="U504" s="460">
        <v>583</v>
      </c>
      <c r="V504" s="460">
        <v>622</v>
      </c>
      <c r="W504" s="460">
        <v>611</v>
      </c>
      <c r="X504" s="460">
        <v>686</v>
      </c>
      <c r="Y504" s="460">
        <v>621</v>
      </c>
      <c r="Z504" s="460">
        <v>634</v>
      </c>
      <c r="AA504" s="460">
        <v>601</v>
      </c>
      <c r="AB504" s="460">
        <v>642</v>
      </c>
      <c r="AC504" s="460">
        <v>627</v>
      </c>
      <c r="AD504" s="460">
        <v>641</v>
      </c>
      <c r="AE504" s="460">
        <v>613</v>
      </c>
      <c r="AF504" s="460">
        <v>404</v>
      </c>
      <c r="AG504" s="460">
        <v>422</v>
      </c>
      <c r="AH504" s="460">
        <v>441</v>
      </c>
      <c r="AI504" s="460">
        <v>543</v>
      </c>
      <c r="AJ504" s="460">
        <v>525</v>
      </c>
      <c r="AK504" s="460">
        <v>583</v>
      </c>
      <c r="AL504" s="460">
        <v>572</v>
      </c>
      <c r="AM504" s="460">
        <v>471</v>
      </c>
      <c r="AN504" s="460">
        <v>561</v>
      </c>
      <c r="AO504" s="460">
        <v>538</v>
      </c>
      <c r="AP504" s="460">
        <v>526</v>
      </c>
      <c r="AQ504" s="460">
        <v>576</v>
      </c>
      <c r="AR504" s="460">
        <v>623</v>
      </c>
      <c r="AS504" s="460">
        <v>576</v>
      </c>
      <c r="AT504" s="460">
        <v>615</v>
      </c>
      <c r="AU504" s="460">
        <v>597</v>
      </c>
      <c r="AV504" s="460">
        <v>594</v>
      </c>
      <c r="AW504" s="460">
        <v>552</v>
      </c>
      <c r="AX504" s="460">
        <v>589</v>
      </c>
      <c r="AY504" s="460">
        <v>559</v>
      </c>
      <c r="AZ504" s="460">
        <v>543</v>
      </c>
      <c r="BA504" s="460">
        <v>551</v>
      </c>
      <c r="BB504" s="460">
        <v>596</v>
      </c>
      <c r="BC504" s="460">
        <v>626</v>
      </c>
      <c r="BD504" s="460">
        <v>555</v>
      </c>
      <c r="BE504" s="460">
        <v>470</v>
      </c>
      <c r="BF504" s="460">
        <v>555</v>
      </c>
      <c r="BG504" s="460">
        <v>559</v>
      </c>
      <c r="BH504" s="460">
        <v>569</v>
      </c>
      <c r="BI504" s="460">
        <v>603</v>
      </c>
      <c r="BJ504" s="460">
        <v>679</v>
      </c>
      <c r="BK504" s="460">
        <v>788</v>
      </c>
      <c r="BL504" s="460">
        <v>775</v>
      </c>
      <c r="BM504" s="460">
        <v>750</v>
      </c>
      <c r="BN504" s="460">
        <v>805</v>
      </c>
      <c r="BO504" s="460">
        <v>775</v>
      </c>
      <c r="BP504" s="460">
        <v>819</v>
      </c>
      <c r="BQ504" s="460">
        <v>862</v>
      </c>
      <c r="BR504" s="460">
        <v>890</v>
      </c>
      <c r="BS504" s="460">
        <v>870</v>
      </c>
      <c r="BT504" s="460">
        <v>881</v>
      </c>
      <c r="BU504" s="460">
        <v>879</v>
      </c>
      <c r="BV504" s="460">
        <v>894</v>
      </c>
      <c r="BW504" s="460">
        <v>876</v>
      </c>
      <c r="BX504" s="460">
        <v>830</v>
      </c>
      <c r="BY504" s="460">
        <v>792</v>
      </c>
      <c r="BZ504" s="460">
        <v>785</v>
      </c>
      <c r="CA504" s="460">
        <v>740</v>
      </c>
      <c r="CB504" s="460">
        <v>717</v>
      </c>
      <c r="CC504" s="460">
        <v>789</v>
      </c>
      <c r="CD504" s="460">
        <v>744</v>
      </c>
      <c r="CE504" s="460">
        <v>734</v>
      </c>
      <c r="CF504" s="460">
        <v>780</v>
      </c>
      <c r="CG504" s="460">
        <v>723</v>
      </c>
      <c r="CH504" s="460">
        <v>809</v>
      </c>
      <c r="CI504" s="460">
        <v>853</v>
      </c>
      <c r="CJ504" s="460">
        <v>851</v>
      </c>
      <c r="CK504" s="460">
        <v>673</v>
      </c>
      <c r="CL504" s="460">
        <v>628</v>
      </c>
      <c r="CM504" s="460">
        <v>602</v>
      </c>
      <c r="CN504" s="460">
        <v>548</v>
      </c>
      <c r="CO504" s="460">
        <v>479</v>
      </c>
      <c r="CP504" s="460">
        <v>400</v>
      </c>
      <c r="CQ504" s="460">
        <v>367</v>
      </c>
      <c r="CR504" s="460">
        <v>373</v>
      </c>
      <c r="CS504" s="460">
        <v>296</v>
      </c>
      <c r="CT504" s="460">
        <v>289</v>
      </c>
      <c r="CU504" s="460">
        <v>267</v>
      </c>
      <c r="CV504" s="460">
        <v>251</v>
      </c>
      <c r="CW504" s="460">
        <v>195</v>
      </c>
      <c r="CX504" s="460">
        <v>194</v>
      </c>
      <c r="CY504" s="460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>
      <c r="A505" s="31" t="s">
        <v>79</v>
      </c>
      <c r="B505" s="1" t="s">
        <v>584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460">
        <v>457</v>
      </c>
      <c r="N505" s="460">
        <v>493</v>
      </c>
      <c r="O505" s="460">
        <v>520</v>
      </c>
      <c r="P505" s="460">
        <v>480</v>
      </c>
      <c r="Q505" s="460">
        <v>486</v>
      </c>
      <c r="R505" s="460">
        <v>551</v>
      </c>
      <c r="S505" s="460">
        <v>523</v>
      </c>
      <c r="T505" s="460">
        <v>558</v>
      </c>
      <c r="U505" s="460">
        <v>524</v>
      </c>
      <c r="V505" s="460">
        <v>561</v>
      </c>
      <c r="W505" s="460">
        <v>567</v>
      </c>
      <c r="X505" s="460">
        <v>592</v>
      </c>
      <c r="Y505" s="460">
        <v>615</v>
      </c>
      <c r="Z505" s="460">
        <v>593</v>
      </c>
      <c r="AA505" s="460">
        <v>609</v>
      </c>
      <c r="AB505" s="460">
        <v>587</v>
      </c>
      <c r="AC505" s="460">
        <v>587</v>
      </c>
      <c r="AD505" s="460">
        <v>627</v>
      </c>
      <c r="AE505" s="460">
        <v>551</v>
      </c>
      <c r="AF505" s="460">
        <v>439</v>
      </c>
      <c r="AG505" s="460">
        <v>422</v>
      </c>
      <c r="AH505" s="460">
        <v>434</v>
      </c>
      <c r="AI505" s="460">
        <v>423</v>
      </c>
      <c r="AJ505" s="460">
        <v>470</v>
      </c>
      <c r="AK505" s="460">
        <v>490</v>
      </c>
      <c r="AL505" s="460">
        <v>482</v>
      </c>
      <c r="AM505" s="460">
        <v>514</v>
      </c>
      <c r="AN505" s="460">
        <v>470</v>
      </c>
      <c r="AO505" s="460">
        <v>500</v>
      </c>
      <c r="AP505" s="460">
        <v>483</v>
      </c>
      <c r="AQ505" s="460">
        <v>507</v>
      </c>
      <c r="AR505" s="460">
        <v>516</v>
      </c>
      <c r="AS505" s="460">
        <v>511</v>
      </c>
      <c r="AT505" s="460">
        <v>471</v>
      </c>
      <c r="AU505" s="460">
        <v>530</v>
      </c>
      <c r="AV505" s="460">
        <v>513</v>
      </c>
      <c r="AW505" s="460">
        <v>510</v>
      </c>
      <c r="AX505" s="460">
        <v>477</v>
      </c>
      <c r="AY505" s="460">
        <v>509</v>
      </c>
      <c r="AZ505" s="460">
        <v>424</v>
      </c>
      <c r="BA505" s="460">
        <v>488</v>
      </c>
      <c r="BB505" s="460">
        <v>496</v>
      </c>
      <c r="BC505" s="460">
        <v>500</v>
      </c>
      <c r="BD505" s="460">
        <v>478</v>
      </c>
      <c r="BE505" s="460">
        <v>422</v>
      </c>
      <c r="BF505" s="460">
        <v>464</v>
      </c>
      <c r="BG505" s="460">
        <v>515</v>
      </c>
      <c r="BH505" s="460">
        <v>516</v>
      </c>
      <c r="BI505" s="460">
        <v>525</v>
      </c>
      <c r="BJ505" s="460">
        <v>532</v>
      </c>
      <c r="BK505" s="460">
        <v>646</v>
      </c>
      <c r="BL505" s="460">
        <v>654</v>
      </c>
      <c r="BM505" s="460">
        <v>645</v>
      </c>
      <c r="BN505" s="460">
        <v>662</v>
      </c>
      <c r="BO505" s="460">
        <v>643</v>
      </c>
      <c r="BP505" s="460">
        <v>715</v>
      </c>
      <c r="BQ505" s="460">
        <v>681</v>
      </c>
      <c r="BR505" s="460">
        <v>758</v>
      </c>
      <c r="BS505" s="460">
        <v>746</v>
      </c>
      <c r="BT505" s="460">
        <v>697</v>
      </c>
      <c r="BU505" s="460">
        <v>737</v>
      </c>
      <c r="BV505" s="460">
        <v>654</v>
      </c>
      <c r="BW505" s="460">
        <v>713</v>
      </c>
      <c r="BX505" s="460">
        <v>665</v>
      </c>
      <c r="BY505" s="460">
        <v>635</v>
      </c>
      <c r="BZ505" s="460">
        <v>637</v>
      </c>
      <c r="CA505" s="460">
        <v>603</v>
      </c>
      <c r="CB505" s="460">
        <v>603</v>
      </c>
      <c r="CC505" s="460">
        <v>596</v>
      </c>
      <c r="CD505" s="460">
        <v>599</v>
      </c>
      <c r="CE505" s="460">
        <v>543</v>
      </c>
      <c r="CF505" s="460">
        <v>547</v>
      </c>
      <c r="CG505" s="460">
        <v>614</v>
      </c>
      <c r="CH505" s="460">
        <v>653</v>
      </c>
      <c r="CI505" s="460">
        <v>674</v>
      </c>
      <c r="CJ505" s="460">
        <v>666</v>
      </c>
      <c r="CK505" s="460">
        <v>469</v>
      </c>
      <c r="CL505" s="460">
        <v>446</v>
      </c>
      <c r="CM505" s="460">
        <v>473</v>
      </c>
      <c r="CN505" s="460">
        <v>443</v>
      </c>
      <c r="CO505" s="460">
        <v>359</v>
      </c>
      <c r="CP505" s="460">
        <v>328</v>
      </c>
      <c r="CQ505" s="460">
        <v>290</v>
      </c>
      <c r="CR505" s="460">
        <v>259</v>
      </c>
      <c r="CS505" s="460">
        <v>236</v>
      </c>
      <c r="CT505" s="460">
        <v>224</v>
      </c>
      <c r="CU505" s="460">
        <v>181</v>
      </c>
      <c r="CV505" s="460">
        <v>162</v>
      </c>
      <c r="CW505" s="460">
        <v>127</v>
      </c>
      <c r="CX505" s="460">
        <v>108</v>
      </c>
      <c r="CY505" s="460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>
      <c r="A506" s="31" t="s">
        <v>79</v>
      </c>
      <c r="B506" s="1" t="s">
        <v>585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460">
        <v>701</v>
      </c>
      <c r="N506" s="460">
        <v>780</v>
      </c>
      <c r="O506" s="460">
        <v>775</v>
      </c>
      <c r="P506" s="460">
        <v>770</v>
      </c>
      <c r="Q506" s="460">
        <v>817</v>
      </c>
      <c r="R506" s="460">
        <v>825</v>
      </c>
      <c r="S506" s="460">
        <v>849</v>
      </c>
      <c r="T506" s="460">
        <v>888</v>
      </c>
      <c r="U506" s="460">
        <v>904</v>
      </c>
      <c r="V506" s="460">
        <v>899</v>
      </c>
      <c r="W506" s="460">
        <v>971</v>
      </c>
      <c r="X506" s="460">
        <v>933</v>
      </c>
      <c r="Y506" s="460">
        <v>1008</v>
      </c>
      <c r="Z506" s="460">
        <v>933</v>
      </c>
      <c r="AA506" s="460">
        <v>1033</v>
      </c>
      <c r="AB506" s="460">
        <v>950</v>
      </c>
      <c r="AC506" s="460">
        <v>903</v>
      </c>
      <c r="AD506" s="460">
        <v>944</v>
      </c>
      <c r="AE506" s="460">
        <v>881</v>
      </c>
      <c r="AF506" s="460">
        <v>661</v>
      </c>
      <c r="AG506" s="460">
        <v>648</v>
      </c>
      <c r="AH506" s="460">
        <v>673</v>
      </c>
      <c r="AI506" s="460">
        <v>728</v>
      </c>
      <c r="AJ506" s="460">
        <v>844</v>
      </c>
      <c r="AK506" s="460">
        <v>853</v>
      </c>
      <c r="AL506" s="460">
        <v>829</v>
      </c>
      <c r="AM506" s="460">
        <v>799</v>
      </c>
      <c r="AN506" s="460">
        <v>822</v>
      </c>
      <c r="AO506" s="460">
        <v>837</v>
      </c>
      <c r="AP506" s="460">
        <v>879</v>
      </c>
      <c r="AQ506" s="460">
        <v>1004</v>
      </c>
      <c r="AR506" s="460">
        <v>928</v>
      </c>
      <c r="AS506" s="460">
        <v>919</v>
      </c>
      <c r="AT506" s="460">
        <v>961</v>
      </c>
      <c r="AU506" s="460">
        <v>970</v>
      </c>
      <c r="AV506" s="460">
        <v>947</v>
      </c>
      <c r="AW506" s="460">
        <v>978</v>
      </c>
      <c r="AX506" s="460">
        <v>903</v>
      </c>
      <c r="AY506" s="460">
        <v>860</v>
      </c>
      <c r="AZ506" s="460">
        <v>889</v>
      </c>
      <c r="BA506" s="460">
        <v>925</v>
      </c>
      <c r="BB506" s="460">
        <v>916</v>
      </c>
      <c r="BC506" s="460">
        <v>930</v>
      </c>
      <c r="BD506" s="460">
        <v>875</v>
      </c>
      <c r="BE506" s="460">
        <v>855</v>
      </c>
      <c r="BF506" s="460">
        <v>802</v>
      </c>
      <c r="BG506" s="460">
        <v>825</v>
      </c>
      <c r="BH506" s="460">
        <v>925</v>
      </c>
      <c r="BI506" s="460">
        <v>970</v>
      </c>
      <c r="BJ506" s="460">
        <v>989</v>
      </c>
      <c r="BK506" s="460">
        <v>1124</v>
      </c>
      <c r="BL506" s="460">
        <v>1159</v>
      </c>
      <c r="BM506" s="460">
        <v>1172</v>
      </c>
      <c r="BN506" s="460">
        <v>1222</v>
      </c>
      <c r="BO506" s="460">
        <v>1193</v>
      </c>
      <c r="BP506" s="460">
        <v>1115</v>
      </c>
      <c r="BQ506" s="460">
        <v>1116</v>
      </c>
      <c r="BR506" s="460">
        <v>1156</v>
      </c>
      <c r="BS506" s="460">
        <v>1196</v>
      </c>
      <c r="BT506" s="460">
        <v>1096</v>
      </c>
      <c r="BU506" s="460">
        <v>1149</v>
      </c>
      <c r="BV506" s="460">
        <v>1060</v>
      </c>
      <c r="BW506" s="460">
        <v>1024</v>
      </c>
      <c r="BX506" s="460">
        <v>1036</v>
      </c>
      <c r="BY506" s="460">
        <v>912</v>
      </c>
      <c r="BZ506" s="460">
        <v>883</v>
      </c>
      <c r="CA506" s="460">
        <v>867</v>
      </c>
      <c r="CB506" s="460">
        <v>793</v>
      </c>
      <c r="CC506" s="460">
        <v>812</v>
      </c>
      <c r="CD506" s="460">
        <v>850</v>
      </c>
      <c r="CE506" s="460">
        <v>761</v>
      </c>
      <c r="CF506" s="460">
        <v>877</v>
      </c>
      <c r="CG506" s="460">
        <v>832</v>
      </c>
      <c r="CH506" s="460">
        <v>891</v>
      </c>
      <c r="CI506" s="460">
        <v>922</v>
      </c>
      <c r="CJ506" s="460">
        <v>1006</v>
      </c>
      <c r="CK506" s="460">
        <v>637</v>
      </c>
      <c r="CL506" s="460">
        <v>646</v>
      </c>
      <c r="CM506" s="460">
        <v>660</v>
      </c>
      <c r="CN506" s="460">
        <v>553</v>
      </c>
      <c r="CO506" s="460">
        <v>481</v>
      </c>
      <c r="CP506" s="460">
        <v>430</v>
      </c>
      <c r="CQ506" s="460">
        <v>426</v>
      </c>
      <c r="CR506" s="460">
        <v>354</v>
      </c>
      <c r="CS506" s="460">
        <v>350</v>
      </c>
      <c r="CT506" s="460">
        <v>287</v>
      </c>
      <c r="CU506" s="460">
        <v>257</v>
      </c>
      <c r="CV506" s="460">
        <v>212</v>
      </c>
      <c r="CW506" s="460">
        <v>170</v>
      </c>
      <c r="CX506" s="460">
        <v>138</v>
      </c>
      <c r="CY506" s="460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>
      <c r="A507" s="31" t="s">
        <v>79</v>
      </c>
      <c r="B507" s="1" t="s">
        <v>586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460">
        <v>554</v>
      </c>
      <c r="N507" s="460">
        <v>518</v>
      </c>
      <c r="O507" s="460">
        <v>550</v>
      </c>
      <c r="P507" s="460">
        <v>548</v>
      </c>
      <c r="Q507" s="460">
        <v>593</v>
      </c>
      <c r="R507" s="460">
        <v>563</v>
      </c>
      <c r="S507" s="460">
        <v>656</v>
      </c>
      <c r="T507" s="460">
        <v>596</v>
      </c>
      <c r="U507" s="460">
        <v>662</v>
      </c>
      <c r="V507" s="460">
        <v>660</v>
      </c>
      <c r="W507" s="460">
        <v>664</v>
      </c>
      <c r="X507" s="460">
        <v>666</v>
      </c>
      <c r="Y507" s="460">
        <v>714</v>
      </c>
      <c r="Z507" s="460">
        <v>665</v>
      </c>
      <c r="AA507" s="460">
        <v>674</v>
      </c>
      <c r="AB507" s="460">
        <v>671</v>
      </c>
      <c r="AC507" s="460">
        <v>653</v>
      </c>
      <c r="AD507" s="460">
        <v>618</v>
      </c>
      <c r="AE507" s="460">
        <v>660</v>
      </c>
      <c r="AF507" s="460">
        <v>869</v>
      </c>
      <c r="AG507" s="460">
        <v>893</v>
      </c>
      <c r="AH507" s="460">
        <v>930</v>
      </c>
      <c r="AI507" s="460">
        <v>871</v>
      </c>
      <c r="AJ507" s="460">
        <v>777</v>
      </c>
      <c r="AK507" s="460">
        <v>709</v>
      </c>
      <c r="AL507" s="460">
        <v>648</v>
      </c>
      <c r="AM507" s="460">
        <v>637</v>
      </c>
      <c r="AN507" s="460">
        <v>635</v>
      </c>
      <c r="AO507" s="460">
        <v>676</v>
      </c>
      <c r="AP507" s="460">
        <v>659</v>
      </c>
      <c r="AQ507" s="460">
        <v>661</v>
      </c>
      <c r="AR507" s="460">
        <v>643</v>
      </c>
      <c r="AS507" s="460">
        <v>663</v>
      </c>
      <c r="AT507" s="460">
        <v>677</v>
      </c>
      <c r="AU507" s="460">
        <v>680</v>
      </c>
      <c r="AV507" s="460">
        <v>704</v>
      </c>
      <c r="AW507" s="460">
        <v>572</v>
      </c>
      <c r="AX507" s="460">
        <v>595</v>
      </c>
      <c r="AY507" s="460">
        <v>582</v>
      </c>
      <c r="AZ507" s="460">
        <v>586</v>
      </c>
      <c r="BA507" s="460">
        <v>589</v>
      </c>
      <c r="BB507" s="460">
        <v>603</v>
      </c>
      <c r="BC507" s="460">
        <v>613</v>
      </c>
      <c r="BD507" s="460">
        <v>569</v>
      </c>
      <c r="BE507" s="460">
        <v>557</v>
      </c>
      <c r="BF507" s="460">
        <v>575</v>
      </c>
      <c r="BG507" s="460">
        <v>581</v>
      </c>
      <c r="BH507" s="460">
        <v>606</v>
      </c>
      <c r="BI507" s="460">
        <v>678</v>
      </c>
      <c r="BJ507" s="460">
        <v>722</v>
      </c>
      <c r="BK507" s="460">
        <v>767</v>
      </c>
      <c r="BL507" s="460">
        <v>811</v>
      </c>
      <c r="BM507" s="460">
        <v>804</v>
      </c>
      <c r="BN507" s="460">
        <v>775</v>
      </c>
      <c r="BO507" s="460">
        <v>801</v>
      </c>
      <c r="BP507" s="460">
        <v>799</v>
      </c>
      <c r="BQ507" s="460">
        <v>858</v>
      </c>
      <c r="BR507" s="460">
        <v>866</v>
      </c>
      <c r="BS507" s="460">
        <v>874</v>
      </c>
      <c r="BT507" s="460">
        <v>888</v>
      </c>
      <c r="BU507" s="460">
        <v>867</v>
      </c>
      <c r="BV507" s="460">
        <v>849</v>
      </c>
      <c r="BW507" s="460">
        <v>771</v>
      </c>
      <c r="BX507" s="460">
        <v>768</v>
      </c>
      <c r="BY507" s="460">
        <v>811</v>
      </c>
      <c r="BZ507" s="460">
        <v>756</v>
      </c>
      <c r="CA507" s="460">
        <v>711</v>
      </c>
      <c r="CB507" s="460">
        <v>727</v>
      </c>
      <c r="CC507" s="460">
        <v>675</v>
      </c>
      <c r="CD507" s="460">
        <v>709</v>
      </c>
      <c r="CE507" s="460">
        <v>650</v>
      </c>
      <c r="CF507" s="460">
        <v>649</v>
      </c>
      <c r="CG507" s="460">
        <v>649</v>
      </c>
      <c r="CH507" s="460">
        <v>729</v>
      </c>
      <c r="CI507" s="460">
        <v>764</v>
      </c>
      <c r="CJ507" s="460">
        <v>736</v>
      </c>
      <c r="CK507" s="460">
        <v>589</v>
      </c>
      <c r="CL507" s="460">
        <v>522</v>
      </c>
      <c r="CM507" s="460">
        <v>521</v>
      </c>
      <c r="CN507" s="460">
        <v>483</v>
      </c>
      <c r="CO507" s="460">
        <v>379</v>
      </c>
      <c r="CP507" s="460">
        <v>308</v>
      </c>
      <c r="CQ507" s="460">
        <v>331</v>
      </c>
      <c r="CR507" s="460">
        <v>327</v>
      </c>
      <c r="CS507" s="460">
        <v>274</v>
      </c>
      <c r="CT507" s="460">
        <v>248</v>
      </c>
      <c r="CU507" s="460">
        <v>221</v>
      </c>
      <c r="CV507" s="460">
        <v>181</v>
      </c>
      <c r="CW507" s="460">
        <v>162</v>
      </c>
      <c r="CX507" s="460">
        <v>135</v>
      </c>
      <c r="CY507" s="460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>
      <c r="A508" s="31" t="s">
        <v>79</v>
      </c>
      <c r="B508" s="1" t="s">
        <v>587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460">
        <v>273</v>
      </c>
      <c r="N508" s="460">
        <v>322</v>
      </c>
      <c r="O508" s="460">
        <v>305</v>
      </c>
      <c r="P508" s="460">
        <v>320</v>
      </c>
      <c r="Q508" s="460">
        <v>334</v>
      </c>
      <c r="R508" s="460">
        <v>383</v>
      </c>
      <c r="S508" s="460">
        <v>383</v>
      </c>
      <c r="T508" s="460">
        <v>361</v>
      </c>
      <c r="U508" s="460">
        <v>383</v>
      </c>
      <c r="V508" s="460">
        <v>411</v>
      </c>
      <c r="W508" s="460">
        <v>394</v>
      </c>
      <c r="X508" s="460">
        <v>440</v>
      </c>
      <c r="Y508" s="460">
        <v>405</v>
      </c>
      <c r="Z508" s="460">
        <v>438</v>
      </c>
      <c r="AA508" s="460">
        <v>385</v>
      </c>
      <c r="AB508" s="460">
        <v>392</v>
      </c>
      <c r="AC508" s="460">
        <v>391</v>
      </c>
      <c r="AD508" s="460">
        <v>389</v>
      </c>
      <c r="AE508" s="460">
        <v>348</v>
      </c>
      <c r="AF508" s="460">
        <v>299</v>
      </c>
      <c r="AG508" s="460">
        <v>302</v>
      </c>
      <c r="AH508" s="460">
        <v>273</v>
      </c>
      <c r="AI508" s="460">
        <v>297</v>
      </c>
      <c r="AJ508" s="460">
        <v>367</v>
      </c>
      <c r="AK508" s="460">
        <v>299</v>
      </c>
      <c r="AL508" s="460">
        <v>316</v>
      </c>
      <c r="AM508" s="460">
        <v>341</v>
      </c>
      <c r="AN508" s="460">
        <v>319</v>
      </c>
      <c r="AO508" s="460">
        <v>363</v>
      </c>
      <c r="AP508" s="460">
        <v>338</v>
      </c>
      <c r="AQ508" s="460">
        <v>332</v>
      </c>
      <c r="AR508" s="460">
        <v>349</v>
      </c>
      <c r="AS508" s="460">
        <v>346</v>
      </c>
      <c r="AT508" s="460">
        <v>349</v>
      </c>
      <c r="AU508" s="460">
        <v>381</v>
      </c>
      <c r="AV508" s="460">
        <v>373</v>
      </c>
      <c r="AW508" s="460">
        <v>310</v>
      </c>
      <c r="AX508" s="460">
        <v>347</v>
      </c>
      <c r="AY508" s="460">
        <v>371</v>
      </c>
      <c r="AZ508" s="460">
        <v>328</v>
      </c>
      <c r="BA508" s="460">
        <v>331</v>
      </c>
      <c r="BB508" s="460">
        <v>346</v>
      </c>
      <c r="BC508" s="460">
        <v>345</v>
      </c>
      <c r="BD508" s="460">
        <v>373</v>
      </c>
      <c r="BE508" s="460">
        <v>321</v>
      </c>
      <c r="BF508" s="460">
        <v>306</v>
      </c>
      <c r="BG508" s="460">
        <v>326</v>
      </c>
      <c r="BH508" s="460">
        <v>357</v>
      </c>
      <c r="BI508" s="460">
        <v>373</v>
      </c>
      <c r="BJ508" s="460">
        <v>436</v>
      </c>
      <c r="BK508" s="460">
        <v>448</v>
      </c>
      <c r="BL508" s="460">
        <v>493</v>
      </c>
      <c r="BM508" s="460">
        <v>440</v>
      </c>
      <c r="BN508" s="460">
        <v>466</v>
      </c>
      <c r="BO508" s="460">
        <v>481</v>
      </c>
      <c r="BP508" s="460">
        <v>523</v>
      </c>
      <c r="BQ508" s="460">
        <v>490</v>
      </c>
      <c r="BR508" s="460">
        <v>546</v>
      </c>
      <c r="BS508" s="460">
        <v>515</v>
      </c>
      <c r="BT508" s="460">
        <v>563</v>
      </c>
      <c r="BU508" s="460">
        <v>503</v>
      </c>
      <c r="BV508" s="460">
        <v>511</v>
      </c>
      <c r="BW508" s="460">
        <v>539</v>
      </c>
      <c r="BX508" s="460">
        <v>521</v>
      </c>
      <c r="BY508" s="460">
        <v>482</v>
      </c>
      <c r="BZ508" s="460">
        <v>468</v>
      </c>
      <c r="CA508" s="460">
        <v>489</v>
      </c>
      <c r="CB508" s="460">
        <v>476</v>
      </c>
      <c r="CC508" s="460">
        <v>458</v>
      </c>
      <c r="CD508" s="460">
        <v>460</v>
      </c>
      <c r="CE508" s="460">
        <v>458</v>
      </c>
      <c r="CF508" s="460">
        <v>438</v>
      </c>
      <c r="CG508" s="460">
        <v>468</v>
      </c>
      <c r="CH508" s="460">
        <v>490</v>
      </c>
      <c r="CI508" s="460">
        <v>504</v>
      </c>
      <c r="CJ508" s="460">
        <v>484</v>
      </c>
      <c r="CK508" s="460">
        <v>343</v>
      </c>
      <c r="CL508" s="460">
        <v>365</v>
      </c>
      <c r="CM508" s="460">
        <v>374</v>
      </c>
      <c r="CN508" s="460">
        <v>344</v>
      </c>
      <c r="CO508" s="460">
        <v>273</v>
      </c>
      <c r="CP508" s="460">
        <v>244</v>
      </c>
      <c r="CQ508" s="460">
        <v>233</v>
      </c>
      <c r="CR508" s="460">
        <v>249</v>
      </c>
      <c r="CS508" s="460">
        <v>194</v>
      </c>
      <c r="CT508" s="460">
        <v>174</v>
      </c>
      <c r="CU508" s="460">
        <v>143</v>
      </c>
      <c r="CV508" s="460">
        <v>115</v>
      </c>
      <c r="CW508" s="460">
        <v>82</v>
      </c>
      <c r="CX508" s="460">
        <v>77</v>
      </c>
      <c r="CY508" s="460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>
      <c r="A509" s="31" t="s">
        <v>79</v>
      </c>
      <c r="B509" s="1" t="s">
        <v>588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460">
        <v>322</v>
      </c>
      <c r="N509" s="460">
        <v>325</v>
      </c>
      <c r="O509" s="460">
        <v>329</v>
      </c>
      <c r="P509" s="460">
        <v>309</v>
      </c>
      <c r="Q509" s="460">
        <v>371</v>
      </c>
      <c r="R509" s="460">
        <v>402</v>
      </c>
      <c r="S509" s="460">
        <v>381</v>
      </c>
      <c r="T509" s="460">
        <v>384</v>
      </c>
      <c r="U509" s="460">
        <v>350</v>
      </c>
      <c r="V509" s="460">
        <v>355</v>
      </c>
      <c r="W509" s="460">
        <v>378</v>
      </c>
      <c r="X509" s="460">
        <v>405</v>
      </c>
      <c r="Y509" s="460">
        <v>360</v>
      </c>
      <c r="Z509" s="460">
        <v>363</v>
      </c>
      <c r="AA509" s="460">
        <v>375</v>
      </c>
      <c r="AB509" s="460">
        <v>379</v>
      </c>
      <c r="AC509" s="460">
        <v>337</v>
      </c>
      <c r="AD509" s="460">
        <v>307</v>
      </c>
      <c r="AE509" s="460">
        <v>319</v>
      </c>
      <c r="AF509" s="460">
        <v>333</v>
      </c>
      <c r="AG509" s="460">
        <v>297</v>
      </c>
      <c r="AH509" s="460">
        <v>289</v>
      </c>
      <c r="AI509" s="460">
        <v>333</v>
      </c>
      <c r="AJ509" s="460">
        <v>329</v>
      </c>
      <c r="AK509" s="460">
        <v>314</v>
      </c>
      <c r="AL509" s="460">
        <v>356</v>
      </c>
      <c r="AM509" s="460">
        <v>342</v>
      </c>
      <c r="AN509" s="460">
        <v>329</v>
      </c>
      <c r="AO509" s="460">
        <v>375</v>
      </c>
      <c r="AP509" s="460">
        <v>373</v>
      </c>
      <c r="AQ509" s="460">
        <v>362</v>
      </c>
      <c r="AR509" s="460">
        <v>382</v>
      </c>
      <c r="AS509" s="460">
        <v>390</v>
      </c>
      <c r="AT509" s="460">
        <v>371</v>
      </c>
      <c r="AU509" s="460">
        <v>386</v>
      </c>
      <c r="AV509" s="460">
        <v>397</v>
      </c>
      <c r="AW509" s="460">
        <v>396</v>
      </c>
      <c r="AX509" s="460">
        <v>417</v>
      </c>
      <c r="AY509" s="460">
        <v>405</v>
      </c>
      <c r="AZ509" s="460">
        <v>353</v>
      </c>
      <c r="BA509" s="460">
        <v>345</v>
      </c>
      <c r="BB509" s="460">
        <v>368</v>
      </c>
      <c r="BC509" s="460">
        <v>386</v>
      </c>
      <c r="BD509" s="460">
        <v>340</v>
      </c>
      <c r="BE509" s="460">
        <v>284</v>
      </c>
      <c r="BF509" s="460">
        <v>280</v>
      </c>
      <c r="BG509" s="460">
        <v>319</v>
      </c>
      <c r="BH509" s="460">
        <v>331</v>
      </c>
      <c r="BI509" s="460">
        <v>303</v>
      </c>
      <c r="BJ509" s="460">
        <v>340</v>
      </c>
      <c r="BK509" s="460">
        <v>362</v>
      </c>
      <c r="BL509" s="460">
        <v>394</v>
      </c>
      <c r="BM509" s="460">
        <v>378</v>
      </c>
      <c r="BN509" s="460">
        <v>423</v>
      </c>
      <c r="BO509" s="460">
        <v>387</v>
      </c>
      <c r="BP509" s="460">
        <v>385</v>
      </c>
      <c r="BQ509" s="460">
        <v>419</v>
      </c>
      <c r="BR509" s="460">
        <v>416</v>
      </c>
      <c r="BS509" s="460">
        <v>421</v>
      </c>
      <c r="BT509" s="460">
        <v>381</v>
      </c>
      <c r="BU509" s="460">
        <v>405</v>
      </c>
      <c r="BV509" s="460">
        <v>379</v>
      </c>
      <c r="BW509" s="460">
        <v>383</v>
      </c>
      <c r="BX509" s="460">
        <v>405</v>
      </c>
      <c r="BY509" s="460">
        <v>393</v>
      </c>
      <c r="BZ509" s="460">
        <v>324</v>
      </c>
      <c r="CA509" s="460">
        <v>306</v>
      </c>
      <c r="CB509" s="460">
        <v>295</v>
      </c>
      <c r="CC509" s="460">
        <v>323</v>
      </c>
      <c r="CD509" s="460">
        <v>301</v>
      </c>
      <c r="CE509" s="460">
        <v>295</v>
      </c>
      <c r="CF509" s="460">
        <v>300</v>
      </c>
      <c r="CG509" s="460">
        <v>276</v>
      </c>
      <c r="CH509" s="460">
        <v>314</v>
      </c>
      <c r="CI509" s="460">
        <v>295</v>
      </c>
      <c r="CJ509" s="460">
        <v>264</v>
      </c>
      <c r="CK509" s="460">
        <v>208</v>
      </c>
      <c r="CL509" s="460">
        <v>225</v>
      </c>
      <c r="CM509" s="460">
        <v>219</v>
      </c>
      <c r="CN509" s="460">
        <v>190</v>
      </c>
      <c r="CO509" s="460">
        <v>177</v>
      </c>
      <c r="CP509" s="460">
        <v>123</v>
      </c>
      <c r="CQ509" s="460">
        <v>131</v>
      </c>
      <c r="CR509" s="460">
        <v>119</v>
      </c>
      <c r="CS509" s="460">
        <v>109</v>
      </c>
      <c r="CT509" s="460">
        <v>95</v>
      </c>
      <c r="CU509" s="460">
        <v>84</v>
      </c>
      <c r="CV509" s="460">
        <v>76</v>
      </c>
      <c r="CW509" s="460">
        <v>50</v>
      </c>
      <c r="CX509" s="460">
        <v>44</v>
      </c>
      <c r="CY509" s="460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>
      <c r="A510" s="31" t="s">
        <v>79</v>
      </c>
      <c r="B510" s="1" t="s">
        <v>589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460">
        <v>377</v>
      </c>
      <c r="N510" s="460">
        <v>383</v>
      </c>
      <c r="O510" s="460">
        <v>404</v>
      </c>
      <c r="P510" s="460">
        <v>394</v>
      </c>
      <c r="Q510" s="460">
        <v>447</v>
      </c>
      <c r="R510" s="460">
        <v>478</v>
      </c>
      <c r="S510" s="460">
        <v>490</v>
      </c>
      <c r="T510" s="460">
        <v>485</v>
      </c>
      <c r="U510" s="460">
        <v>489</v>
      </c>
      <c r="V510" s="460">
        <v>501</v>
      </c>
      <c r="W510" s="460">
        <v>531</v>
      </c>
      <c r="X510" s="460">
        <v>542</v>
      </c>
      <c r="Y510" s="460">
        <v>515</v>
      </c>
      <c r="Z510" s="460">
        <v>563</v>
      </c>
      <c r="AA510" s="460">
        <v>550</v>
      </c>
      <c r="AB510" s="460">
        <v>559</v>
      </c>
      <c r="AC510" s="460">
        <v>524</v>
      </c>
      <c r="AD510" s="460">
        <v>545</v>
      </c>
      <c r="AE510" s="460">
        <v>490</v>
      </c>
      <c r="AF510" s="460">
        <v>319</v>
      </c>
      <c r="AG510" s="460">
        <v>335</v>
      </c>
      <c r="AH510" s="460">
        <v>372</v>
      </c>
      <c r="AI510" s="460">
        <v>418</v>
      </c>
      <c r="AJ510" s="460">
        <v>441</v>
      </c>
      <c r="AK510" s="460">
        <v>398</v>
      </c>
      <c r="AL510" s="460">
        <v>495</v>
      </c>
      <c r="AM510" s="460">
        <v>449</v>
      </c>
      <c r="AN510" s="460">
        <v>462</v>
      </c>
      <c r="AO510" s="460">
        <v>457</v>
      </c>
      <c r="AP510" s="460">
        <v>442</v>
      </c>
      <c r="AQ510" s="460">
        <v>500</v>
      </c>
      <c r="AR510" s="460">
        <v>537</v>
      </c>
      <c r="AS510" s="460">
        <v>477</v>
      </c>
      <c r="AT510" s="460">
        <v>516</v>
      </c>
      <c r="AU510" s="460">
        <v>453</v>
      </c>
      <c r="AV510" s="460">
        <v>485</v>
      </c>
      <c r="AW510" s="460">
        <v>490</v>
      </c>
      <c r="AX510" s="460">
        <v>484</v>
      </c>
      <c r="AY510" s="460">
        <v>482</v>
      </c>
      <c r="AZ510" s="460">
        <v>486</v>
      </c>
      <c r="BA510" s="460">
        <v>499</v>
      </c>
      <c r="BB510" s="460">
        <v>471</v>
      </c>
      <c r="BC510" s="460">
        <v>509</v>
      </c>
      <c r="BD510" s="460">
        <v>520</v>
      </c>
      <c r="BE510" s="460">
        <v>463</v>
      </c>
      <c r="BF510" s="460">
        <v>519</v>
      </c>
      <c r="BG510" s="460">
        <v>496</v>
      </c>
      <c r="BH510" s="460">
        <v>549</v>
      </c>
      <c r="BI510" s="460">
        <v>538</v>
      </c>
      <c r="BJ510" s="460">
        <v>592</v>
      </c>
      <c r="BK510" s="460">
        <v>667</v>
      </c>
      <c r="BL510" s="460">
        <v>708</v>
      </c>
      <c r="BM510" s="460">
        <v>648</v>
      </c>
      <c r="BN510" s="460">
        <v>693</v>
      </c>
      <c r="BO510" s="460">
        <v>749</v>
      </c>
      <c r="BP510" s="460">
        <v>752</v>
      </c>
      <c r="BQ510" s="460">
        <v>784</v>
      </c>
      <c r="BR510" s="460">
        <v>766</v>
      </c>
      <c r="BS510" s="460">
        <v>756</v>
      </c>
      <c r="BT510" s="460">
        <v>782</v>
      </c>
      <c r="BU510" s="460">
        <v>721</v>
      </c>
      <c r="BV510" s="460">
        <v>717</v>
      </c>
      <c r="BW510" s="460">
        <v>665</v>
      </c>
      <c r="BX510" s="460">
        <v>635</v>
      </c>
      <c r="BY510" s="460">
        <v>685</v>
      </c>
      <c r="BZ510" s="460">
        <v>628</v>
      </c>
      <c r="CA510" s="460">
        <v>575</v>
      </c>
      <c r="CB510" s="460">
        <v>602</v>
      </c>
      <c r="CC510" s="460">
        <v>554</v>
      </c>
      <c r="CD510" s="460">
        <v>603</v>
      </c>
      <c r="CE510" s="460">
        <v>611</v>
      </c>
      <c r="CF510" s="460">
        <v>578</v>
      </c>
      <c r="CG510" s="460">
        <v>625</v>
      </c>
      <c r="CH510" s="460">
        <v>605</v>
      </c>
      <c r="CI510" s="460">
        <v>606</v>
      </c>
      <c r="CJ510" s="460">
        <v>658</v>
      </c>
      <c r="CK510" s="460">
        <v>487</v>
      </c>
      <c r="CL510" s="460">
        <v>470</v>
      </c>
      <c r="CM510" s="460">
        <v>490</v>
      </c>
      <c r="CN510" s="460">
        <v>437</v>
      </c>
      <c r="CO510" s="460">
        <v>368</v>
      </c>
      <c r="CP510" s="460">
        <v>310</v>
      </c>
      <c r="CQ510" s="460">
        <v>342</v>
      </c>
      <c r="CR510" s="460">
        <v>275</v>
      </c>
      <c r="CS510" s="460">
        <v>241</v>
      </c>
      <c r="CT510" s="460">
        <v>224</v>
      </c>
      <c r="CU510" s="460">
        <v>217</v>
      </c>
      <c r="CV510" s="460">
        <v>168</v>
      </c>
      <c r="CW510" s="460">
        <v>170</v>
      </c>
      <c r="CX510" s="460">
        <v>145</v>
      </c>
      <c r="CY510" s="460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>
      <c r="A511" s="31" t="s">
        <v>79</v>
      </c>
      <c r="B511" s="1" t="s">
        <v>590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460">
        <v>636</v>
      </c>
      <c r="N511" s="460">
        <v>642</v>
      </c>
      <c r="O511" s="460">
        <v>647</v>
      </c>
      <c r="P511" s="460">
        <v>707</v>
      </c>
      <c r="Q511" s="460">
        <v>762</v>
      </c>
      <c r="R511" s="460">
        <v>761</v>
      </c>
      <c r="S511" s="460">
        <v>825</v>
      </c>
      <c r="T511" s="460">
        <v>811</v>
      </c>
      <c r="U511" s="460">
        <v>818</v>
      </c>
      <c r="V511" s="460">
        <v>783</v>
      </c>
      <c r="W511" s="460">
        <v>915</v>
      </c>
      <c r="X511" s="460">
        <v>922</v>
      </c>
      <c r="Y511" s="460">
        <v>869</v>
      </c>
      <c r="Z511" s="460">
        <v>864</v>
      </c>
      <c r="AA511" s="460">
        <v>873</v>
      </c>
      <c r="AB511" s="460">
        <v>854</v>
      </c>
      <c r="AC511" s="460">
        <v>858</v>
      </c>
      <c r="AD511" s="460">
        <v>823</v>
      </c>
      <c r="AE511" s="460">
        <v>958</v>
      </c>
      <c r="AF511" s="460">
        <v>1502</v>
      </c>
      <c r="AG511" s="460">
        <v>878</v>
      </c>
      <c r="AH511" s="460">
        <v>667</v>
      </c>
      <c r="AI511" s="460">
        <v>607</v>
      </c>
      <c r="AJ511" s="460">
        <v>701</v>
      </c>
      <c r="AK511" s="460">
        <v>688</v>
      </c>
      <c r="AL511" s="460">
        <v>776</v>
      </c>
      <c r="AM511" s="460">
        <v>789</v>
      </c>
      <c r="AN511" s="460">
        <v>806</v>
      </c>
      <c r="AO511" s="460">
        <v>797</v>
      </c>
      <c r="AP511" s="460">
        <v>829</v>
      </c>
      <c r="AQ511" s="460">
        <v>904</v>
      </c>
      <c r="AR511" s="460">
        <v>851</v>
      </c>
      <c r="AS511" s="460">
        <v>855</v>
      </c>
      <c r="AT511" s="460">
        <v>855</v>
      </c>
      <c r="AU511" s="460">
        <v>825</v>
      </c>
      <c r="AV511" s="460">
        <v>845</v>
      </c>
      <c r="AW511" s="460">
        <v>903</v>
      </c>
      <c r="AX511" s="460">
        <v>859</v>
      </c>
      <c r="AY511" s="460">
        <v>868</v>
      </c>
      <c r="AZ511" s="460">
        <v>830</v>
      </c>
      <c r="BA511" s="460">
        <v>830</v>
      </c>
      <c r="BB511" s="460">
        <v>850</v>
      </c>
      <c r="BC511" s="460">
        <v>826</v>
      </c>
      <c r="BD511" s="460">
        <v>853</v>
      </c>
      <c r="BE511" s="460">
        <v>809</v>
      </c>
      <c r="BF511" s="460">
        <v>756</v>
      </c>
      <c r="BG511" s="460">
        <v>746</v>
      </c>
      <c r="BH511" s="460">
        <v>825</v>
      </c>
      <c r="BI511" s="460">
        <v>777</v>
      </c>
      <c r="BJ511" s="460">
        <v>849</v>
      </c>
      <c r="BK511" s="460">
        <v>862</v>
      </c>
      <c r="BL511" s="460">
        <v>954</v>
      </c>
      <c r="BM511" s="460">
        <v>904</v>
      </c>
      <c r="BN511" s="460">
        <v>948</v>
      </c>
      <c r="BO511" s="460">
        <v>1003</v>
      </c>
      <c r="BP511" s="460">
        <v>945</v>
      </c>
      <c r="BQ511" s="460">
        <v>984</v>
      </c>
      <c r="BR511" s="460">
        <v>991</v>
      </c>
      <c r="BS511" s="460">
        <v>1043</v>
      </c>
      <c r="BT511" s="460">
        <v>992</v>
      </c>
      <c r="BU511" s="460">
        <v>975</v>
      </c>
      <c r="BV511" s="460">
        <v>943</v>
      </c>
      <c r="BW511" s="460">
        <v>960</v>
      </c>
      <c r="BX511" s="460">
        <v>888</v>
      </c>
      <c r="BY511" s="460">
        <v>1006</v>
      </c>
      <c r="BZ511" s="460">
        <v>870</v>
      </c>
      <c r="CA511" s="460">
        <v>796</v>
      </c>
      <c r="CB511" s="460">
        <v>802</v>
      </c>
      <c r="CC511" s="460">
        <v>793</v>
      </c>
      <c r="CD511" s="460">
        <v>815</v>
      </c>
      <c r="CE511" s="460">
        <v>772</v>
      </c>
      <c r="CF511" s="460">
        <v>725</v>
      </c>
      <c r="CG511" s="460">
        <v>778</v>
      </c>
      <c r="CH511" s="460">
        <v>746</v>
      </c>
      <c r="CI511" s="460">
        <v>847</v>
      </c>
      <c r="CJ511" s="460">
        <v>799</v>
      </c>
      <c r="CK511" s="460">
        <v>579</v>
      </c>
      <c r="CL511" s="460">
        <v>577</v>
      </c>
      <c r="CM511" s="460">
        <v>556</v>
      </c>
      <c r="CN511" s="460">
        <v>505</v>
      </c>
      <c r="CO511" s="460">
        <v>452</v>
      </c>
      <c r="CP511" s="460">
        <v>360</v>
      </c>
      <c r="CQ511" s="460">
        <v>384</v>
      </c>
      <c r="CR511" s="460">
        <v>318</v>
      </c>
      <c r="CS511" s="460">
        <v>294</v>
      </c>
      <c r="CT511" s="460">
        <v>260</v>
      </c>
      <c r="CU511" s="460">
        <v>226</v>
      </c>
      <c r="CV511" s="460">
        <v>183</v>
      </c>
      <c r="CW511" s="460">
        <v>177</v>
      </c>
      <c r="CX511" s="460">
        <v>127</v>
      </c>
      <c r="CY511" s="460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>
      <c r="A512" s="31" t="s">
        <v>79</v>
      </c>
      <c r="B512" s="1" t="s">
        <v>591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460">
        <v>1002</v>
      </c>
      <c r="N512" s="460">
        <v>958</v>
      </c>
      <c r="O512" s="460">
        <v>993</v>
      </c>
      <c r="P512" s="460">
        <v>1033</v>
      </c>
      <c r="Q512" s="460">
        <v>1002</v>
      </c>
      <c r="R512" s="460">
        <v>1014</v>
      </c>
      <c r="S512" s="460">
        <v>1196</v>
      </c>
      <c r="T512" s="460">
        <v>1083</v>
      </c>
      <c r="U512" s="460">
        <v>1043</v>
      </c>
      <c r="V512" s="460">
        <v>1089</v>
      </c>
      <c r="W512" s="460">
        <v>1039</v>
      </c>
      <c r="X512" s="460">
        <v>1059</v>
      </c>
      <c r="Y512" s="460">
        <v>1048</v>
      </c>
      <c r="Z512" s="460">
        <v>1123</v>
      </c>
      <c r="AA512" s="460">
        <v>1128</v>
      </c>
      <c r="AB512" s="460">
        <v>945</v>
      </c>
      <c r="AC512" s="460">
        <v>940</v>
      </c>
      <c r="AD512" s="460">
        <v>952</v>
      </c>
      <c r="AE512" s="460">
        <v>969</v>
      </c>
      <c r="AF512" s="460">
        <v>782</v>
      </c>
      <c r="AG512" s="460">
        <v>699</v>
      </c>
      <c r="AH512" s="460">
        <v>774</v>
      </c>
      <c r="AI512" s="460">
        <v>881</v>
      </c>
      <c r="AJ512" s="460">
        <v>985</v>
      </c>
      <c r="AK512" s="460">
        <v>959</v>
      </c>
      <c r="AL512" s="460">
        <v>1027</v>
      </c>
      <c r="AM512" s="460">
        <v>1005</v>
      </c>
      <c r="AN512" s="460">
        <v>1020</v>
      </c>
      <c r="AO512" s="460">
        <v>1076</v>
      </c>
      <c r="AP512" s="460">
        <v>1245</v>
      </c>
      <c r="AQ512" s="460">
        <v>1220</v>
      </c>
      <c r="AR512" s="460">
        <v>1265</v>
      </c>
      <c r="AS512" s="460">
        <v>1169</v>
      </c>
      <c r="AT512" s="460">
        <v>1279</v>
      </c>
      <c r="AU512" s="460">
        <v>1332</v>
      </c>
      <c r="AV512" s="460">
        <v>1215</v>
      </c>
      <c r="AW512" s="460">
        <v>1185</v>
      </c>
      <c r="AX512" s="460">
        <v>1259</v>
      </c>
      <c r="AY512" s="460">
        <v>1143</v>
      </c>
      <c r="AZ512" s="460">
        <v>1017</v>
      </c>
      <c r="BA512" s="460">
        <v>1038</v>
      </c>
      <c r="BB512" s="460">
        <v>1044</v>
      </c>
      <c r="BC512" s="460">
        <v>1120</v>
      </c>
      <c r="BD512" s="460">
        <v>1055</v>
      </c>
      <c r="BE512" s="460">
        <v>942</v>
      </c>
      <c r="BF512" s="460">
        <v>907</v>
      </c>
      <c r="BG512" s="460">
        <v>917</v>
      </c>
      <c r="BH512" s="460">
        <v>953</v>
      </c>
      <c r="BI512" s="460">
        <v>944</v>
      </c>
      <c r="BJ512" s="460">
        <v>996</v>
      </c>
      <c r="BK512" s="460">
        <v>980</v>
      </c>
      <c r="BL512" s="460">
        <v>1095</v>
      </c>
      <c r="BM512" s="460">
        <v>1067</v>
      </c>
      <c r="BN512" s="460">
        <v>1100</v>
      </c>
      <c r="BO512" s="460">
        <v>948</v>
      </c>
      <c r="BP512" s="460">
        <v>1070</v>
      </c>
      <c r="BQ512" s="460">
        <v>1067</v>
      </c>
      <c r="BR512" s="460">
        <v>1053</v>
      </c>
      <c r="BS512" s="460">
        <v>1041</v>
      </c>
      <c r="BT512" s="460">
        <v>1021</v>
      </c>
      <c r="BU512" s="460">
        <v>935</v>
      </c>
      <c r="BV512" s="460">
        <v>982</v>
      </c>
      <c r="BW512" s="460">
        <v>893</v>
      </c>
      <c r="BX512" s="460">
        <v>964</v>
      </c>
      <c r="BY512" s="460">
        <v>829</v>
      </c>
      <c r="BZ512" s="460">
        <v>800</v>
      </c>
      <c r="CA512" s="460">
        <v>680</v>
      </c>
      <c r="CB512" s="460">
        <v>675</v>
      </c>
      <c r="CC512" s="460">
        <v>724</v>
      </c>
      <c r="CD512" s="460">
        <v>751</v>
      </c>
      <c r="CE512" s="460">
        <v>678</v>
      </c>
      <c r="CF512" s="460">
        <v>607</v>
      </c>
      <c r="CG512" s="460">
        <v>654</v>
      </c>
      <c r="CH512" s="460">
        <v>620</v>
      </c>
      <c r="CI512" s="460">
        <v>701</v>
      </c>
      <c r="CJ512" s="460">
        <v>753</v>
      </c>
      <c r="CK512" s="460">
        <v>517</v>
      </c>
      <c r="CL512" s="460">
        <v>519</v>
      </c>
      <c r="CM512" s="460">
        <v>492</v>
      </c>
      <c r="CN512" s="460">
        <v>470</v>
      </c>
      <c r="CO512" s="460">
        <v>374</v>
      </c>
      <c r="CP512" s="460">
        <v>319</v>
      </c>
      <c r="CQ512" s="460">
        <v>324</v>
      </c>
      <c r="CR512" s="460">
        <v>314</v>
      </c>
      <c r="CS512" s="460">
        <v>256</v>
      </c>
      <c r="CT512" s="460">
        <v>240</v>
      </c>
      <c r="CU512" s="460">
        <v>230</v>
      </c>
      <c r="CV512" s="460">
        <v>172</v>
      </c>
      <c r="CW512" s="460">
        <v>142</v>
      </c>
      <c r="CX512" s="460">
        <v>117</v>
      </c>
      <c r="CY512" s="460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>
      <c r="A513" s="31" t="s">
        <v>79</v>
      </c>
      <c r="B513" s="1" t="s">
        <v>592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460">
        <v>547</v>
      </c>
      <c r="N513" s="460">
        <v>541</v>
      </c>
      <c r="O513" s="460">
        <v>560</v>
      </c>
      <c r="P513" s="460">
        <v>587</v>
      </c>
      <c r="Q513" s="460">
        <v>646</v>
      </c>
      <c r="R513" s="460">
        <v>630</v>
      </c>
      <c r="S513" s="460">
        <v>657</v>
      </c>
      <c r="T513" s="460">
        <v>695</v>
      </c>
      <c r="U513" s="460">
        <v>700</v>
      </c>
      <c r="V513" s="460">
        <v>693</v>
      </c>
      <c r="W513" s="460">
        <v>704</v>
      </c>
      <c r="X513" s="460">
        <v>745</v>
      </c>
      <c r="Y513" s="460">
        <v>723</v>
      </c>
      <c r="Z513" s="460">
        <v>691</v>
      </c>
      <c r="AA513" s="460">
        <v>785</v>
      </c>
      <c r="AB513" s="460">
        <v>690</v>
      </c>
      <c r="AC513" s="460">
        <v>779</v>
      </c>
      <c r="AD513" s="460">
        <v>726</v>
      </c>
      <c r="AE513" s="460">
        <v>659</v>
      </c>
      <c r="AF513" s="460">
        <v>545</v>
      </c>
      <c r="AG513" s="460">
        <v>505</v>
      </c>
      <c r="AH513" s="460">
        <v>573</v>
      </c>
      <c r="AI513" s="460">
        <v>608</v>
      </c>
      <c r="AJ513" s="460">
        <v>603</v>
      </c>
      <c r="AK513" s="460">
        <v>650</v>
      </c>
      <c r="AL513" s="460">
        <v>681</v>
      </c>
      <c r="AM513" s="460">
        <v>604</v>
      </c>
      <c r="AN513" s="460">
        <v>539</v>
      </c>
      <c r="AO513" s="460">
        <v>615</v>
      </c>
      <c r="AP513" s="460">
        <v>649</v>
      </c>
      <c r="AQ513" s="460">
        <v>715</v>
      </c>
      <c r="AR513" s="460">
        <v>687</v>
      </c>
      <c r="AS513" s="460">
        <v>631</v>
      </c>
      <c r="AT513" s="460">
        <v>601</v>
      </c>
      <c r="AU513" s="460">
        <v>686</v>
      </c>
      <c r="AV513" s="460">
        <v>659</v>
      </c>
      <c r="AW513" s="460">
        <v>623</v>
      </c>
      <c r="AX513" s="460">
        <v>623</v>
      </c>
      <c r="AY513" s="460">
        <v>614</v>
      </c>
      <c r="AZ513" s="460">
        <v>608</v>
      </c>
      <c r="BA513" s="460">
        <v>609</v>
      </c>
      <c r="BB513" s="460">
        <v>629</v>
      </c>
      <c r="BC513" s="460">
        <v>647</v>
      </c>
      <c r="BD513" s="460">
        <v>626</v>
      </c>
      <c r="BE513" s="460">
        <v>583</v>
      </c>
      <c r="BF513" s="460">
        <v>542</v>
      </c>
      <c r="BG513" s="460">
        <v>580</v>
      </c>
      <c r="BH513" s="460">
        <v>603</v>
      </c>
      <c r="BI513" s="460">
        <v>639</v>
      </c>
      <c r="BJ513" s="460">
        <v>703</v>
      </c>
      <c r="BK513" s="460">
        <v>754</v>
      </c>
      <c r="BL513" s="460">
        <v>757</v>
      </c>
      <c r="BM513" s="460">
        <v>818</v>
      </c>
      <c r="BN513" s="460">
        <v>808</v>
      </c>
      <c r="BO513" s="460">
        <v>855</v>
      </c>
      <c r="BP513" s="460">
        <v>905</v>
      </c>
      <c r="BQ513" s="460">
        <v>926</v>
      </c>
      <c r="BR513" s="460">
        <v>915</v>
      </c>
      <c r="BS513" s="460">
        <v>887</v>
      </c>
      <c r="BT513" s="460">
        <v>1009</v>
      </c>
      <c r="BU513" s="460">
        <v>967</v>
      </c>
      <c r="BV513" s="460">
        <v>914</v>
      </c>
      <c r="BW513" s="460">
        <v>904</v>
      </c>
      <c r="BX513" s="460">
        <v>952</v>
      </c>
      <c r="BY513" s="460">
        <v>893</v>
      </c>
      <c r="BZ513" s="460">
        <v>866</v>
      </c>
      <c r="CA513" s="460">
        <v>855</v>
      </c>
      <c r="CB513" s="460">
        <v>857</v>
      </c>
      <c r="CC513" s="460">
        <v>882</v>
      </c>
      <c r="CD513" s="460">
        <v>875</v>
      </c>
      <c r="CE513" s="460">
        <v>807</v>
      </c>
      <c r="CF513" s="460">
        <v>838</v>
      </c>
      <c r="CG513" s="460">
        <v>832</v>
      </c>
      <c r="CH513" s="460">
        <v>800</v>
      </c>
      <c r="CI513" s="460">
        <v>838</v>
      </c>
      <c r="CJ513" s="460">
        <v>882</v>
      </c>
      <c r="CK513" s="460">
        <v>614</v>
      </c>
      <c r="CL513" s="460">
        <v>659</v>
      </c>
      <c r="CM513" s="460">
        <v>627</v>
      </c>
      <c r="CN513" s="460">
        <v>545</v>
      </c>
      <c r="CO513" s="460">
        <v>490</v>
      </c>
      <c r="CP513" s="460">
        <v>469</v>
      </c>
      <c r="CQ513" s="460">
        <v>418</v>
      </c>
      <c r="CR513" s="460">
        <v>376</v>
      </c>
      <c r="CS513" s="460">
        <v>328</v>
      </c>
      <c r="CT513" s="460">
        <v>268</v>
      </c>
      <c r="CU513" s="460">
        <v>254</v>
      </c>
      <c r="CV513" s="460">
        <v>224</v>
      </c>
      <c r="CW513" s="460">
        <v>142</v>
      </c>
      <c r="CX513" s="460">
        <v>181</v>
      </c>
      <c r="CY513" s="460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>
      <c r="A514" s="31" t="s">
        <v>79</v>
      </c>
      <c r="B514" s="1" t="s">
        <v>593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460">
        <v>542</v>
      </c>
      <c r="N514" s="460">
        <v>558</v>
      </c>
      <c r="O514" s="460">
        <v>557</v>
      </c>
      <c r="P514" s="460">
        <v>623</v>
      </c>
      <c r="Q514" s="460">
        <v>680</v>
      </c>
      <c r="R514" s="460">
        <v>640</v>
      </c>
      <c r="S514" s="460">
        <v>636</v>
      </c>
      <c r="T514" s="460">
        <v>702</v>
      </c>
      <c r="U514" s="460">
        <v>710</v>
      </c>
      <c r="V514" s="460">
        <v>708</v>
      </c>
      <c r="W514" s="460">
        <v>684</v>
      </c>
      <c r="X514" s="460">
        <v>699</v>
      </c>
      <c r="Y514" s="460">
        <v>687</v>
      </c>
      <c r="Z514" s="460">
        <v>724</v>
      </c>
      <c r="AA514" s="460">
        <v>813</v>
      </c>
      <c r="AB514" s="460">
        <v>726</v>
      </c>
      <c r="AC514" s="460">
        <v>720</v>
      </c>
      <c r="AD514" s="460">
        <v>759</v>
      </c>
      <c r="AE514" s="460">
        <v>677</v>
      </c>
      <c r="AF514" s="460">
        <v>546</v>
      </c>
      <c r="AG514" s="460">
        <v>497</v>
      </c>
      <c r="AH514" s="460">
        <v>540</v>
      </c>
      <c r="AI514" s="460">
        <v>576</v>
      </c>
      <c r="AJ514" s="460">
        <v>708</v>
      </c>
      <c r="AK514" s="460">
        <v>659</v>
      </c>
      <c r="AL514" s="460">
        <v>640</v>
      </c>
      <c r="AM514" s="460">
        <v>700</v>
      </c>
      <c r="AN514" s="460">
        <v>643</v>
      </c>
      <c r="AO514" s="460">
        <v>676</v>
      </c>
      <c r="AP514" s="460">
        <v>655</v>
      </c>
      <c r="AQ514" s="460">
        <v>689</v>
      </c>
      <c r="AR514" s="460">
        <v>681</v>
      </c>
      <c r="AS514" s="460">
        <v>678</v>
      </c>
      <c r="AT514" s="460">
        <v>691</v>
      </c>
      <c r="AU514" s="460">
        <v>706</v>
      </c>
      <c r="AV514" s="460">
        <v>621</v>
      </c>
      <c r="AW514" s="460">
        <v>641</v>
      </c>
      <c r="AX514" s="460">
        <v>683</v>
      </c>
      <c r="AY514" s="460">
        <v>629</v>
      </c>
      <c r="AZ514" s="460">
        <v>628</v>
      </c>
      <c r="BA514" s="460">
        <v>668</v>
      </c>
      <c r="BB514" s="460">
        <v>643</v>
      </c>
      <c r="BC514" s="460">
        <v>674</v>
      </c>
      <c r="BD514" s="460">
        <v>652</v>
      </c>
      <c r="BE514" s="460">
        <v>622</v>
      </c>
      <c r="BF514" s="460">
        <v>638</v>
      </c>
      <c r="BG514" s="460">
        <v>646</v>
      </c>
      <c r="BH514" s="460">
        <v>721</v>
      </c>
      <c r="BI514" s="460">
        <v>733</v>
      </c>
      <c r="BJ514" s="460">
        <v>732</v>
      </c>
      <c r="BK514" s="460">
        <v>904</v>
      </c>
      <c r="BL514" s="460">
        <v>916</v>
      </c>
      <c r="BM514" s="460">
        <v>874</v>
      </c>
      <c r="BN514" s="460">
        <v>967</v>
      </c>
      <c r="BO514" s="460">
        <v>918</v>
      </c>
      <c r="BP514" s="460">
        <v>1049</v>
      </c>
      <c r="BQ514" s="460">
        <v>1027</v>
      </c>
      <c r="BR514" s="460">
        <v>1085</v>
      </c>
      <c r="BS514" s="460">
        <v>1055</v>
      </c>
      <c r="BT514" s="460">
        <v>1079</v>
      </c>
      <c r="BU514" s="460">
        <v>1083</v>
      </c>
      <c r="BV514" s="460">
        <v>1072</v>
      </c>
      <c r="BW514" s="460">
        <v>1062</v>
      </c>
      <c r="BX514" s="460">
        <v>1068</v>
      </c>
      <c r="BY514" s="460">
        <v>970</v>
      </c>
      <c r="BZ514" s="460">
        <v>1004</v>
      </c>
      <c r="CA514" s="460">
        <v>1048</v>
      </c>
      <c r="CB514" s="460">
        <v>920</v>
      </c>
      <c r="CC514" s="460">
        <v>981</v>
      </c>
      <c r="CD514" s="460">
        <v>986</v>
      </c>
      <c r="CE514" s="460">
        <v>946</v>
      </c>
      <c r="CF514" s="460">
        <v>909</v>
      </c>
      <c r="CG514" s="460">
        <v>957</v>
      </c>
      <c r="CH514" s="460">
        <v>966</v>
      </c>
      <c r="CI514" s="460">
        <v>1053</v>
      </c>
      <c r="CJ514" s="460">
        <v>1016</v>
      </c>
      <c r="CK514" s="460">
        <v>762</v>
      </c>
      <c r="CL514" s="460">
        <v>697</v>
      </c>
      <c r="CM514" s="460">
        <v>815</v>
      </c>
      <c r="CN514" s="460">
        <v>676</v>
      </c>
      <c r="CO514" s="460">
        <v>565</v>
      </c>
      <c r="CP514" s="460">
        <v>480</v>
      </c>
      <c r="CQ514" s="460">
        <v>484</v>
      </c>
      <c r="CR514" s="460">
        <v>421</v>
      </c>
      <c r="CS514" s="460">
        <v>402</v>
      </c>
      <c r="CT514" s="460">
        <v>348</v>
      </c>
      <c r="CU514" s="460">
        <v>295</v>
      </c>
      <c r="CV514" s="460">
        <v>283</v>
      </c>
      <c r="CW514" s="460">
        <v>234</v>
      </c>
      <c r="CX514" s="460">
        <v>151</v>
      </c>
      <c r="CY514" s="460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>
      <c r="A515" s="31" t="s">
        <v>79</v>
      </c>
      <c r="B515" s="1" t="s">
        <v>594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460">
        <v>1182</v>
      </c>
      <c r="N515" s="460">
        <v>1192</v>
      </c>
      <c r="O515" s="460">
        <v>1246</v>
      </c>
      <c r="P515" s="460">
        <v>1330</v>
      </c>
      <c r="Q515" s="460">
        <v>1390</v>
      </c>
      <c r="R515" s="460">
        <v>1335</v>
      </c>
      <c r="S515" s="460">
        <v>1349</v>
      </c>
      <c r="T515" s="460">
        <v>1424</v>
      </c>
      <c r="U515" s="460">
        <v>1454</v>
      </c>
      <c r="V515" s="460">
        <v>1448</v>
      </c>
      <c r="W515" s="460">
        <v>1470</v>
      </c>
      <c r="X515" s="460">
        <v>1500</v>
      </c>
      <c r="Y515" s="460">
        <v>1414</v>
      </c>
      <c r="Z515" s="460">
        <v>1599</v>
      </c>
      <c r="AA515" s="460">
        <v>1471</v>
      </c>
      <c r="AB515" s="460">
        <v>1487</v>
      </c>
      <c r="AC515" s="460">
        <v>1400</v>
      </c>
      <c r="AD515" s="460">
        <v>1425</v>
      </c>
      <c r="AE515" s="460">
        <v>1383</v>
      </c>
      <c r="AF515" s="460">
        <v>1430</v>
      </c>
      <c r="AG515" s="460">
        <v>1361</v>
      </c>
      <c r="AH515" s="460">
        <v>1470</v>
      </c>
      <c r="AI515" s="460">
        <v>1333</v>
      </c>
      <c r="AJ515" s="460">
        <v>1508</v>
      </c>
      <c r="AK515" s="460">
        <v>1349</v>
      </c>
      <c r="AL515" s="460">
        <v>1510</v>
      </c>
      <c r="AM515" s="460">
        <v>1397</v>
      </c>
      <c r="AN515" s="460">
        <v>1501</v>
      </c>
      <c r="AO515" s="460">
        <v>1440</v>
      </c>
      <c r="AP515" s="460">
        <v>1561</v>
      </c>
      <c r="AQ515" s="460">
        <v>1531</v>
      </c>
      <c r="AR515" s="460">
        <v>1507</v>
      </c>
      <c r="AS515" s="460">
        <v>1666</v>
      </c>
      <c r="AT515" s="460">
        <v>1646</v>
      </c>
      <c r="AU515" s="460">
        <v>1508</v>
      </c>
      <c r="AV515" s="460">
        <v>1576</v>
      </c>
      <c r="AW515" s="460">
        <v>1511</v>
      </c>
      <c r="AX515" s="460">
        <v>1573</v>
      </c>
      <c r="AY515" s="460">
        <v>1526</v>
      </c>
      <c r="AZ515" s="460">
        <v>1487</v>
      </c>
      <c r="BA515" s="460">
        <v>1448</v>
      </c>
      <c r="BB515" s="460">
        <v>1387</v>
      </c>
      <c r="BC515" s="460">
        <v>1473</v>
      </c>
      <c r="BD515" s="460">
        <v>1436</v>
      </c>
      <c r="BE515" s="460">
        <v>1292</v>
      </c>
      <c r="BF515" s="460">
        <v>1234</v>
      </c>
      <c r="BG515" s="460">
        <v>1228</v>
      </c>
      <c r="BH515" s="460">
        <v>1344</v>
      </c>
      <c r="BI515" s="460">
        <v>1265</v>
      </c>
      <c r="BJ515" s="460">
        <v>1525</v>
      </c>
      <c r="BK515" s="460">
        <v>1616</v>
      </c>
      <c r="BL515" s="460">
        <v>1695</v>
      </c>
      <c r="BM515" s="460">
        <v>1558</v>
      </c>
      <c r="BN515" s="460">
        <v>1611</v>
      </c>
      <c r="BO515" s="460">
        <v>1667</v>
      </c>
      <c r="BP515" s="460">
        <v>1659</v>
      </c>
      <c r="BQ515" s="460">
        <v>1692</v>
      </c>
      <c r="BR515" s="460">
        <v>1734</v>
      </c>
      <c r="BS515" s="460">
        <v>1649</v>
      </c>
      <c r="BT515" s="460">
        <v>1594</v>
      </c>
      <c r="BU515" s="460">
        <v>1607</v>
      </c>
      <c r="BV515" s="460">
        <v>1496</v>
      </c>
      <c r="BW515" s="460">
        <v>1364</v>
      </c>
      <c r="BX515" s="460">
        <v>1434</v>
      </c>
      <c r="BY515" s="460">
        <v>1372</v>
      </c>
      <c r="BZ515" s="460">
        <v>1354</v>
      </c>
      <c r="CA515" s="460">
        <v>1261</v>
      </c>
      <c r="CB515" s="460">
        <v>1184</v>
      </c>
      <c r="CC515" s="460">
        <v>1223</v>
      </c>
      <c r="CD515" s="460">
        <v>1163</v>
      </c>
      <c r="CE515" s="460">
        <v>1238</v>
      </c>
      <c r="CF515" s="460">
        <v>1171</v>
      </c>
      <c r="CG515" s="460">
        <v>1232</v>
      </c>
      <c r="CH515" s="460">
        <v>1244</v>
      </c>
      <c r="CI515" s="460">
        <v>1280</v>
      </c>
      <c r="CJ515" s="460">
        <v>1272</v>
      </c>
      <c r="CK515" s="460">
        <v>1071</v>
      </c>
      <c r="CL515" s="460">
        <v>988</v>
      </c>
      <c r="CM515" s="460">
        <v>843</v>
      </c>
      <c r="CN515" s="460">
        <v>708</v>
      </c>
      <c r="CO515" s="460">
        <v>680</v>
      </c>
      <c r="CP515" s="460">
        <v>591</v>
      </c>
      <c r="CQ515" s="460">
        <v>536</v>
      </c>
      <c r="CR515" s="460">
        <v>480</v>
      </c>
      <c r="CS515" s="460">
        <v>454</v>
      </c>
      <c r="CT515" s="460">
        <v>366</v>
      </c>
      <c r="CU515" s="460">
        <v>342</v>
      </c>
      <c r="CV515" s="460">
        <v>288</v>
      </c>
      <c r="CW515" s="460">
        <v>231</v>
      </c>
      <c r="CX515" s="460">
        <v>183</v>
      </c>
      <c r="CY515" s="460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>
      <c r="A516" s="31" t="s">
        <v>79</v>
      </c>
      <c r="B516" s="1" t="s">
        <v>595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460">
        <v>1134</v>
      </c>
      <c r="N516" s="460">
        <v>1063</v>
      </c>
      <c r="O516" s="460">
        <v>1133</v>
      </c>
      <c r="P516" s="460">
        <v>1224</v>
      </c>
      <c r="Q516" s="460">
        <v>1266</v>
      </c>
      <c r="R516" s="460">
        <v>1252</v>
      </c>
      <c r="S516" s="460">
        <v>1374</v>
      </c>
      <c r="T516" s="460">
        <v>1363</v>
      </c>
      <c r="U516" s="460">
        <v>1342</v>
      </c>
      <c r="V516" s="460">
        <v>1419</v>
      </c>
      <c r="W516" s="460">
        <v>1459</v>
      </c>
      <c r="X516" s="460">
        <v>1510</v>
      </c>
      <c r="Y516" s="460">
        <v>1407</v>
      </c>
      <c r="Z516" s="460">
        <v>1464</v>
      </c>
      <c r="AA516" s="460">
        <v>1527</v>
      </c>
      <c r="AB516" s="460">
        <v>1392</v>
      </c>
      <c r="AC516" s="460">
        <v>1385</v>
      </c>
      <c r="AD516" s="460">
        <v>1426</v>
      </c>
      <c r="AE516" s="460">
        <v>1459</v>
      </c>
      <c r="AF516" s="460">
        <v>1896</v>
      </c>
      <c r="AG516" s="460">
        <v>2522</v>
      </c>
      <c r="AH516" s="460">
        <v>2615</v>
      </c>
      <c r="AI516" s="460">
        <v>2280</v>
      </c>
      <c r="AJ516" s="460">
        <v>1910</v>
      </c>
      <c r="AK516" s="460">
        <v>1501</v>
      </c>
      <c r="AL516" s="460">
        <v>1507</v>
      </c>
      <c r="AM516" s="460">
        <v>1486</v>
      </c>
      <c r="AN516" s="460">
        <v>1351</v>
      </c>
      <c r="AO516" s="460">
        <v>1422</v>
      </c>
      <c r="AP516" s="460">
        <v>1448</v>
      </c>
      <c r="AQ516" s="460">
        <v>1520</v>
      </c>
      <c r="AR516" s="460">
        <v>1551</v>
      </c>
      <c r="AS516" s="460">
        <v>1644</v>
      </c>
      <c r="AT516" s="460">
        <v>1442</v>
      </c>
      <c r="AU516" s="460">
        <v>1501</v>
      </c>
      <c r="AV516" s="460">
        <v>1514</v>
      </c>
      <c r="AW516" s="460">
        <v>1498</v>
      </c>
      <c r="AX516" s="460">
        <v>1597</v>
      </c>
      <c r="AY516" s="460">
        <v>1396</v>
      </c>
      <c r="AZ516" s="460">
        <v>1455</v>
      </c>
      <c r="BA516" s="460">
        <v>1397</v>
      </c>
      <c r="BB516" s="460">
        <v>1417</v>
      </c>
      <c r="BC516" s="460">
        <v>1584</v>
      </c>
      <c r="BD516" s="460">
        <v>1343</v>
      </c>
      <c r="BE516" s="460">
        <v>1273</v>
      </c>
      <c r="BF516" s="460">
        <v>1289</v>
      </c>
      <c r="BG516" s="460">
        <v>1339</v>
      </c>
      <c r="BH516" s="460">
        <v>1379</v>
      </c>
      <c r="BI516" s="460">
        <v>1335</v>
      </c>
      <c r="BJ516" s="460">
        <v>1336</v>
      </c>
      <c r="BK516" s="460">
        <v>1462</v>
      </c>
      <c r="BL516" s="460">
        <v>1510</v>
      </c>
      <c r="BM516" s="460">
        <v>1509</v>
      </c>
      <c r="BN516" s="460">
        <v>1691</v>
      </c>
      <c r="BO516" s="460">
        <v>1552</v>
      </c>
      <c r="BP516" s="460">
        <v>1528</v>
      </c>
      <c r="BQ516" s="460">
        <v>1522</v>
      </c>
      <c r="BR516" s="460">
        <v>1665</v>
      </c>
      <c r="BS516" s="460">
        <v>1640</v>
      </c>
      <c r="BT516" s="460">
        <v>1484</v>
      </c>
      <c r="BU516" s="460">
        <v>1519</v>
      </c>
      <c r="BV516" s="460">
        <v>1456</v>
      </c>
      <c r="BW516" s="460">
        <v>1447</v>
      </c>
      <c r="BX516" s="460">
        <v>1394</v>
      </c>
      <c r="BY516" s="460">
        <v>1349</v>
      </c>
      <c r="BZ516" s="460">
        <v>1273</v>
      </c>
      <c r="CA516" s="460">
        <v>1240</v>
      </c>
      <c r="CB516" s="460">
        <v>1189</v>
      </c>
      <c r="CC516" s="460">
        <v>1181</v>
      </c>
      <c r="CD516" s="460">
        <v>1218</v>
      </c>
      <c r="CE516" s="460">
        <v>1171</v>
      </c>
      <c r="CF516" s="460">
        <v>1093</v>
      </c>
      <c r="CG516" s="460">
        <v>1212</v>
      </c>
      <c r="CH516" s="460">
        <v>1187</v>
      </c>
      <c r="CI516" s="460">
        <v>1233</v>
      </c>
      <c r="CJ516" s="460">
        <v>1340</v>
      </c>
      <c r="CK516" s="460">
        <v>889</v>
      </c>
      <c r="CL516" s="460">
        <v>905</v>
      </c>
      <c r="CM516" s="460">
        <v>899</v>
      </c>
      <c r="CN516" s="460">
        <v>852</v>
      </c>
      <c r="CO516" s="460">
        <v>748</v>
      </c>
      <c r="CP516" s="460">
        <v>612</v>
      </c>
      <c r="CQ516" s="460">
        <v>591</v>
      </c>
      <c r="CR516" s="460">
        <v>524</v>
      </c>
      <c r="CS516" s="460">
        <v>525</v>
      </c>
      <c r="CT516" s="460">
        <v>455</v>
      </c>
      <c r="CU516" s="460">
        <v>393</v>
      </c>
      <c r="CV516" s="460">
        <v>348</v>
      </c>
      <c r="CW516" s="460">
        <v>276</v>
      </c>
      <c r="CX516" s="460">
        <v>244</v>
      </c>
      <c r="CY516" s="460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>
      <c r="A517" s="31" t="s">
        <v>79</v>
      </c>
      <c r="B517" s="1" t="s">
        <v>596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460">
        <v>514</v>
      </c>
      <c r="N517" s="460">
        <v>466</v>
      </c>
      <c r="O517" s="460">
        <v>537</v>
      </c>
      <c r="P517" s="460">
        <v>540</v>
      </c>
      <c r="Q517" s="460">
        <v>516</v>
      </c>
      <c r="R517" s="460">
        <v>556</v>
      </c>
      <c r="S517" s="460">
        <v>581</v>
      </c>
      <c r="T517" s="460">
        <v>514</v>
      </c>
      <c r="U517" s="460">
        <v>551</v>
      </c>
      <c r="V517" s="460">
        <v>551</v>
      </c>
      <c r="W517" s="460">
        <v>588</v>
      </c>
      <c r="X517" s="460">
        <v>600</v>
      </c>
      <c r="Y517" s="460">
        <v>586</v>
      </c>
      <c r="Z517" s="460">
        <v>625</v>
      </c>
      <c r="AA517" s="460">
        <v>581</v>
      </c>
      <c r="AB517" s="460">
        <v>557</v>
      </c>
      <c r="AC517" s="460">
        <v>592</v>
      </c>
      <c r="AD517" s="460">
        <v>585</v>
      </c>
      <c r="AE517" s="460">
        <v>488</v>
      </c>
      <c r="AF517" s="460">
        <v>425</v>
      </c>
      <c r="AG517" s="460">
        <v>404</v>
      </c>
      <c r="AH517" s="460">
        <v>418</v>
      </c>
      <c r="AI517" s="460">
        <v>438</v>
      </c>
      <c r="AJ517" s="460">
        <v>462</v>
      </c>
      <c r="AK517" s="460">
        <v>507</v>
      </c>
      <c r="AL517" s="460">
        <v>598</v>
      </c>
      <c r="AM517" s="460">
        <v>533</v>
      </c>
      <c r="AN517" s="460">
        <v>576</v>
      </c>
      <c r="AO517" s="460">
        <v>555</v>
      </c>
      <c r="AP517" s="460">
        <v>540</v>
      </c>
      <c r="AQ517" s="460">
        <v>596</v>
      </c>
      <c r="AR517" s="460">
        <v>615</v>
      </c>
      <c r="AS517" s="460">
        <v>622</v>
      </c>
      <c r="AT517" s="460">
        <v>617</v>
      </c>
      <c r="AU517" s="460">
        <v>553</v>
      </c>
      <c r="AV517" s="460">
        <v>586</v>
      </c>
      <c r="AW517" s="460">
        <v>593</v>
      </c>
      <c r="AX517" s="460">
        <v>574</v>
      </c>
      <c r="AY517" s="460">
        <v>532</v>
      </c>
      <c r="AZ517" s="460">
        <v>548</v>
      </c>
      <c r="BA517" s="460">
        <v>555</v>
      </c>
      <c r="BB517" s="460">
        <v>493</v>
      </c>
      <c r="BC517" s="460">
        <v>523</v>
      </c>
      <c r="BD517" s="460">
        <v>539</v>
      </c>
      <c r="BE517" s="460">
        <v>428</v>
      </c>
      <c r="BF517" s="460">
        <v>504</v>
      </c>
      <c r="BG517" s="460">
        <v>432</v>
      </c>
      <c r="BH517" s="460">
        <v>497</v>
      </c>
      <c r="BI517" s="460">
        <v>493</v>
      </c>
      <c r="BJ517" s="460">
        <v>561</v>
      </c>
      <c r="BK517" s="460">
        <v>569</v>
      </c>
      <c r="BL517" s="460">
        <v>636</v>
      </c>
      <c r="BM517" s="460">
        <v>634</v>
      </c>
      <c r="BN517" s="460">
        <v>601</v>
      </c>
      <c r="BO517" s="460">
        <v>597</v>
      </c>
      <c r="BP517" s="460">
        <v>623</v>
      </c>
      <c r="BQ517" s="460">
        <v>631</v>
      </c>
      <c r="BR517" s="460">
        <v>707</v>
      </c>
      <c r="BS517" s="460">
        <v>646</v>
      </c>
      <c r="BT517" s="460">
        <v>672</v>
      </c>
      <c r="BU517" s="460">
        <v>661</v>
      </c>
      <c r="BV517" s="460">
        <v>655</v>
      </c>
      <c r="BW517" s="460">
        <v>574</v>
      </c>
      <c r="BX517" s="460">
        <v>580</v>
      </c>
      <c r="BY517" s="460">
        <v>594</v>
      </c>
      <c r="BZ517" s="460">
        <v>511</v>
      </c>
      <c r="CA517" s="460">
        <v>490</v>
      </c>
      <c r="CB517" s="460">
        <v>470</v>
      </c>
      <c r="CC517" s="460">
        <v>535</v>
      </c>
      <c r="CD517" s="460">
        <v>469</v>
      </c>
      <c r="CE517" s="460">
        <v>488</v>
      </c>
      <c r="CF517" s="460">
        <v>479</v>
      </c>
      <c r="CG517" s="460">
        <v>457</v>
      </c>
      <c r="CH517" s="460">
        <v>484</v>
      </c>
      <c r="CI517" s="460">
        <v>455</v>
      </c>
      <c r="CJ517" s="460">
        <v>541</v>
      </c>
      <c r="CK517" s="460">
        <v>404</v>
      </c>
      <c r="CL517" s="460">
        <v>398</v>
      </c>
      <c r="CM517" s="460">
        <v>348</v>
      </c>
      <c r="CN517" s="460">
        <v>298</v>
      </c>
      <c r="CO517" s="460">
        <v>266</v>
      </c>
      <c r="CP517" s="460">
        <v>246</v>
      </c>
      <c r="CQ517" s="460">
        <v>224</v>
      </c>
      <c r="CR517" s="460">
        <v>223</v>
      </c>
      <c r="CS517" s="460">
        <v>187</v>
      </c>
      <c r="CT517" s="460">
        <v>157</v>
      </c>
      <c r="CU517" s="460">
        <v>143</v>
      </c>
      <c r="CV517" s="460">
        <v>129</v>
      </c>
      <c r="CW517" s="460">
        <v>118</v>
      </c>
      <c r="CX517" s="460">
        <v>110</v>
      </c>
      <c r="CY517" s="460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>
      <c r="A518" s="31" t="s">
        <v>79</v>
      </c>
      <c r="B518" s="1" t="s">
        <v>597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460">
        <v>642</v>
      </c>
      <c r="N518" s="460">
        <v>670</v>
      </c>
      <c r="O518" s="460">
        <v>666</v>
      </c>
      <c r="P518" s="460">
        <v>745</v>
      </c>
      <c r="Q518" s="460">
        <v>708</v>
      </c>
      <c r="R518" s="460">
        <v>814</v>
      </c>
      <c r="S518" s="460">
        <v>772</v>
      </c>
      <c r="T518" s="460">
        <v>756</v>
      </c>
      <c r="U518" s="460">
        <v>790</v>
      </c>
      <c r="V518" s="460">
        <v>869</v>
      </c>
      <c r="W518" s="460">
        <v>878</v>
      </c>
      <c r="X518" s="460">
        <v>861</v>
      </c>
      <c r="Y518" s="460">
        <v>888</v>
      </c>
      <c r="Z518" s="460">
        <v>889</v>
      </c>
      <c r="AA518" s="460">
        <v>863</v>
      </c>
      <c r="AB518" s="460">
        <v>841</v>
      </c>
      <c r="AC518" s="460">
        <v>775</v>
      </c>
      <c r="AD518" s="460">
        <v>759</v>
      </c>
      <c r="AE518" s="460">
        <v>728</v>
      </c>
      <c r="AF518" s="460">
        <v>587</v>
      </c>
      <c r="AG518" s="460">
        <v>503</v>
      </c>
      <c r="AH518" s="460">
        <v>620</v>
      </c>
      <c r="AI518" s="460">
        <v>676</v>
      </c>
      <c r="AJ518" s="460">
        <v>666</v>
      </c>
      <c r="AK518" s="460">
        <v>621</v>
      </c>
      <c r="AL518" s="460">
        <v>702</v>
      </c>
      <c r="AM518" s="460">
        <v>663</v>
      </c>
      <c r="AN518" s="460">
        <v>711</v>
      </c>
      <c r="AO518" s="460">
        <v>738</v>
      </c>
      <c r="AP518" s="460">
        <v>687</v>
      </c>
      <c r="AQ518" s="460">
        <v>701</v>
      </c>
      <c r="AR518" s="460">
        <v>728</v>
      </c>
      <c r="AS518" s="460">
        <v>706</v>
      </c>
      <c r="AT518" s="460">
        <v>774</v>
      </c>
      <c r="AU518" s="460">
        <v>806</v>
      </c>
      <c r="AV518" s="460">
        <v>800</v>
      </c>
      <c r="AW518" s="460">
        <v>846</v>
      </c>
      <c r="AX518" s="460">
        <v>741</v>
      </c>
      <c r="AY518" s="460">
        <v>762</v>
      </c>
      <c r="AZ518" s="460">
        <v>802</v>
      </c>
      <c r="BA518" s="460">
        <v>818</v>
      </c>
      <c r="BB518" s="460">
        <v>893</v>
      </c>
      <c r="BC518" s="460">
        <v>884</v>
      </c>
      <c r="BD518" s="460">
        <v>832</v>
      </c>
      <c r="BE518" s="460">
        <v>669</v>
      </c>
      <c r="BF518" s="460">
        <v>732</v>
      </c>
      <c r="BG518" s="460">
        <v>722</v>
      </c>
      <c r="BH518" s="460">
        <v>807</v>
      </c>
      <c r="BI518" s="460">
        <v>781</v>
      </c>
      <c r="BJ518" s="460">
        <v>815</v>
      </c>
      <c r="BK518" s="460">
        <v>842</v>
      </c>
      <c r="BL518" s="460">
        <v>880</v>
      </c>
      <c r="BM518" s="460">
        <v>853</v>
      </c>
      <c r="BN518" s="460">
        <v>916</v>
      </c>
      <c r="BO518" s="460">
        <v>871</v>
      </c>
      <c r="BP518" s="460">
        <v>920</v>
      </c>
      <c r="BQ518" s="460">
        <v>867</v>
      </c>
      <c r="BR518" s="460">
        <v>906</v>
      </c>
      <c r="BS518" s="460">
        <v>932</v>
      </c>
      <c r="BT518" s="460">
        <v>907</v>
      </c>
      <c r="BU518" s="460">
        <v>934</v>
      </c>
      <c r="BV518" s="460">
        <v>904</v>
      </c>
      <c r="BW518" s="460">
        <v>828</v>
      </c>
      <c r="BX518" s="460">
        <v>857</v>
      </c>
      <c r="BY518" s="460">
        <v>763</v>
      </c>
      <c r="BZ518" s="460">
        <v>786</v>
      </c>
      <c r="CA518" s="460">
        <v>761</v>
      </c>
      <c r="CB518" s="460">
        <v>745</v>
      </c>
      <c r="CC518" s="460">
        <v>753</v>
      </c>
      <c r="CD518" s="460">
        <v>754</v>
      </c>
      <c r="CE518" s="460">
        <v>696</v>
      </c>
      <c r="CF518" s="460">
        <v>706</v>
      </c>
      <c r="CG518" s="460">
        <v>707</v>
      </c>
      <c r="CH518" s="460">
        <v>714</v>
      </c>
      <c r="CI518" s="460">
        <v>737</v>
      </c>
      <c r="CJ518" s="460">
        <v>775</v>
      </c>
      <c r="CK518" s="460">
        <v>562</v>
      </c>
      <c r="CL518" s="460">
        <v>555</v>
      </c>
      <c r="CM518" s="460">
        <v>563</v>
      </c>
      <c r="CN518" s="460">
        <v>468</v>
      </c>
      <c r="CO518" s="460">
        <v>410</v>
      </c>
      <c r="CP518" s="460">
        <v>391</v>
      </c>
      <c r="CQ518" s="460">
        <v>349</v>
      </c>
      <c r="CR518" s="460">
        <v>336</v>
      </c>
      <c r="CS518" s="460">
        <v>307</v>
      </c>
      <c r="CT518" s="460">
        <v>239</v>
      </c>
      <c r="CU518" s="460">
        <v>231</v>
      </c>
      <c r="CV518" s="460">
        <v>180</v>
      </c>
      <c r="CW518" s="460">
        <v>170</v>
      </c>
      <c r="CX518" s="460">
        <v>135</v>
      </c>
      <c r="CY518" s="460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>
      <c r="A519" s="31" t="s">
        <v>79</v>
      </c>
      <c r="B519" s="1" t="s">
        <v>598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460">
        <v>673</v>
      </c>
      <c r="N519" s="460">
        <v>647</v>
      </c>
      <c r="O519" s="460">
        <v>740</v>
      </c>
      <c r="P519" s="460">
        <v>723</v>
      </c>
      <c r="Q519" s="460">
        <v>730</v>
      </c>
      <c r="R519" s="460">
        <v>761</v>
      </c>
      <c r="S519" s="460">
        <v>793</v>
      </c>
      <c r="T519" s="460">
        <v>761</v>
      </c>
      <c r="U519" s="460">
        <v>814</v>
      </c>
      <c r="V519" s="460">
        <v>862</v>
      </c>
      <c r="W519" s="460">
        <v>831</v>
      </c>
      <c r="X519" s="460">
        <v>858</v>
      </c>
      <c r="Y519" s="460">
        <v>859</v>
      </c>
      <c r="Z519" s="460">
        <v>879</v>
      </c>
      <c r="AA519" s="460">
        <v>845</v>
      </c>
      <c r="AB519" s="460">
        <v>853</v>
      </c>
      <c r="AC519" s="460">
        <v>831</v>
      </c>
      <c r="AD519" s="460">
        <v>839</v>
      </c>
      <c r="AE519" s="460">
        <v>753</v>
      </c>
      <c r="AF519" s="460">
        <v>630</v>
      </c>
      <c r="AG519" s="460">
        <v>619</v>
      </c>
      <c r="AH519" s="460">
        <v>629</v>
      </c>
      <c r="AI519" s="460">
        <v>670</v>
      </c>
      <c r="AJ519" s="460">
        <v>758</v>
      </c>
      <c r="AK519" s="460">
        <v>790</v>
      </c>
      <c r="AL519" s="460">
        <v>832</v>
      </c>
      <c r="AM519" s="460">
        <v>753</v>
      </c>
      <c r="AN519" s="460">
        <v>823</v>
      </c>
      <c r="AO519" s="460">
        <v>819</v>
      </c>
      <c r="AP519" s="460">
        <v>821</v>
      </c>
      <c r="AQ519" s="460">
        <v>786</v>
      </c>
      <c r="AR519" s="460">
        <v>853</v>
      </c>
      <c r="AS519" s="460">
        <v>859</v>
      </c>
      <c r="AT519" s="460">
        <v>835</v>
      </c>
      <c r="AU519" s="460">
        <v>874</v>
      </c>
      <c r="AV519" s="460">
        <v>850</v>
      </c>
      <c r="AW519" s="460">
        <v>902</v>
      </c>
      <c r="AX519" s="460">
        <v>921</v>
      </c>
      <c r="AY519" s="460">
        <v>825</v>
      </c>
      <c r="AZ519" s="460">
        <v>847</v>
      </c>
      <c r="BA519" s="460">
        <v>842</v>
      </c>
      <c r="BB519" s="460">
        <v>901</v>
      </c>
      <c r="BC519" s="460">
        <v>918</v>
      </c>
      <c r="BD519" s="460">
        <v>874</v>
      </c>
      <c r="BE519" s="460">
        <v>746</v>
      </c>
      <c r="BF519" s="460">
        <v>759</v>
      </c>
      <c r="BG519" s="460">
        <v>795</v>
      </c>
      <c r="BH519" s="460">
        <v>790</v>
      </c>
      <c r="BI519" s="460">
        <v>799</v>
      </c>
      <c r="BJ519" s="460">
        <v>915</v>
      </c>
      <c r="BK519" s="460">
        <v>955</v>
      </c>
      <c r="BL519" s="460">
        <v>1013</v>
      </c>
      <c r="BM519" s="460">
        <v>995</v>
      </c>
      <c r="BN519" s="460">
        <v>1003</v>
      </c>
      <c r="BO519" s="460">
        <v>969</v>
      </c>
      <c r="BP519" s="460">
        <v>960</v>
      </c>
      <c r="BQ519" s="460">
        <v>1007</v>
      </c>
      <c r="BR519" s="460">
        <v>986</v>
      </c>
      <c r="BS519" s="460">
        <v>968</v>
      </c>
      <c r="BT519" s="460">
        <v>965</v>
      </c>
      <c r="BU519" s="460">
        <v>916</v>
      </c>
      <c r="BV519" s="460">
        <v>884</v>
      </c>
      <c r="BW519" s="460">
        <v>833</v>
      </c>
      <c r="BX519" s="460">
        <v>743</v>
      </c>
      <c r="BY519" s="460">
        <v>790</v>
      </c>
      <c r="BZ519" s="460">
        <v>795</v>
      </c>
      <c r="CA519" s="460">
        <v>774</v>
      </c>
      <c r="CB519" s="460">
        <v>688</v>
      </c>
      <c r="CC519" s="460">
        <v>698</v>
      </c>
      <c r="CD519" s="460">
        <v>716</v>
      </c>
      <c r="CE519" s="460">
        <v>688</v>
      </c>
      <c r="CF519" s="460">
        <v>667</v>
      </c>
      <c r="CG519" s="460">
        <v>680</v>
      </c>
      <c r="CH519" s="460">
        <v>708</v>
      </c>
      <c r="CI519" s="460">
        <v>706</v>
      </c>
      <c r="CJ519" s="460">
        <v>754</v>
      </c>
      <c r="CK519" s="460">
        <v>572</v>
      </c>
      <c r="CL519" s="460">
        <v>512</v>
      </c>
      <c r="CM519" s="460">
        <v>519</v>
      </c>
      <c r="CN519" s="460">
        <v>494</v>
      </c>
      <c r="CO519" s="460">
        <v>429</v>
      </c>
      <c r="CP519" s="460">
        <v>357</v>
      </c>
      <c r="CQ519" s="460">
        <v>308</v>
      </c>
      <c r="CR519" s="460">
        <v>275</v>
      </c>
      <c r="CS519" s="460">
        <v>281</v>
      </c>
      <c r="CT519" s="460">
        <v>235</v>
      </c>
      <c r="CU519" s="460">
        <v>217</v>
      </c>
      <c r="CV519" s="460">
        <v>176</v>
      </c>
      <c r="CW519" s="460">
        <v>132</v>
      </c>
      <c r="CX519" s="460">
        <v>132</v>
      </c>
      <c r="CY519" s="460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>
      <c r="A521" s="31" t="s">
        <v>83</v>
      </c>
      <c r="B521" s="1" t="s">
        <v>599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>
      <c r="A522" s="31" t="s">
        <v>83</v>
      </c>
      <c r="B522" s="1" t="s">
        <v>600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>
      <c r="A523" s="31" t="s">
        <v>83</v>
      </c>
      <c r="B523" s="1" t="s">
        <v>601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>
      <c r="A524" s="31" t="s">
        <v>83</v>
      </c>
      <c r="B524" s="1" t="s">
        <v>602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>
      <c r="A525" s="31" t="s">
        <v>83</v>
      </c>
      <c r="B525" s="1" t="s">
        <v>603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>
      <c r="A526" s="31" t="s">
        <v>83</v>
      </c>
      <c r="B526" s="1" t="s">
        <v>604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>
      <c r="A527" s="31" t="s">
        <v>83</v>
      </c>
      <c r="B527" s="1" t="s">
        <v>605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>
      <c r="A528" s="31" t="s">
        <v>83</v>
      </c>
      <c r="B528" s="1" t="s">
        <v>606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>
      <c r="A529" s="31" t="s">
        <v>83</v>
      </c>
      <c r="B529" s="1" t="s">
        <v>607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>
      <c r="A530" s="31" t="s">
        <v>83</v>
      </c>
      <c r="B530" s="1" t="s">
        <v>608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>
      <c r="A531" s="31" t="s">
        <v>83</v>
      </c>
      <c r="B531" s="1" t="s">
        <v>609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>
      <c r="A535" s="480" t="s">
        <v>610</v>
      </c>
      <c r="B535" s="481"/>
      <c r="C535" s="482"/>
      <c r="D535" s="483"/>
      <c r="E535" s="483"/>
      <c r="F535" s="483"/>
      <c r="G535" s="484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>
      <c r="C537" s="11"/>
      <c r="D537" s="485" t="s">
        <v>611</v>
      </c>
      <c r="E537" s="486" t="s">
        <v>612</v>
      </c>
      <c r="F537" s="485" t="s">
        <v>613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4.5">
      <c r="C538" s="11"/>
      <c r="D538" s="487" t="s">
        <v>614</v>
      </c>
      <c r="E538" s="488" t="s">
        <v>615</v>
      </c>
      <c r="F538" s="487" t="s">
        <v>616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4.5">
      <c r="C539" s="11"/>
      <c r="D539" s="487" t="s">
        <v>617</v>
      </c>
      <c r="E539" s="488" t="s">
        <v>618</v>
      </c>
      <c r="F539" s="487" t="s">
        <v>619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4.5">
      <c r="C540" s="1" t="s">
        <v>620</v>
      </c>
      <c r="D540" s="489">
        <v>60238038</v>
      </c>
      <c r="E540" s="490"/>
      <c r="F540" s="491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4.5">
      <c r="C541" s="492" t="s">
        <v>621</v>
      </c>
      <c r="D541" s="493"/>
      <c r="E541" s="494">
        <v>60856434</v>
      </c>
      <c r="F541" s="489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4.5">
      <c r="C542" s="492" t="s">
        <v>622</v>
      </c>
      <c r="D542" s="493"/>
      <c r="E542" s="495">
        <f>(E541-D540)/D540</f>
        <v>1.0265872205200309E-2</v>
      </c>
      <c r="F542" s="496">
        <f>(F541-D540)/D540</f>
        <v>2.0553358660187437E-2</v>
      </c>
      <c r="G542" s="497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4.5">
      <c r="C543" s="492" t="s">
        <v>623</v>
      </c>
      <c r="D543" s="493"/>
      <c r="E543" s="498"/>
      <c r="F543" s="489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4.5">
      <c r="C544" s="492" t="s">
        <v>624</v>
      </c>
      <c r="D544" s="493"/>
      <c r="E544" s="498"/>
      <c r="F544" s="489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>
      <c r="A547" s="476"/>
      <c r="B547" s="477"/>
      <c r="C547" s="21" t="s">
        <v>625</v>
      </c>
      <c r="D547" s="139" t="s">
        <v>626</v>
      </c>
      <c r="E547" s="139" t="s">
        <v>627</v>
      </c>
      <c r="F547" s="139" t="s">
        <v>628</v>
      </c>
      <c r="G547" s="139" t="s">
        <v>629</v>
      </c>
      <c r="H547" s="139" t="s">
        <v>630</v>
      </c>
      <c r="I547" s="139" t="s">
        <v>631</v>
      </c>
      <c r="J547" s="402" t="s">
        <v>632</v>
      </c>
      <c r="K547" s="405" t="s">
        <v>633</v>
      </c>
      <c r="L547" s="286" t="s">
        <v>634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>
      <c r="A548" s="478" t="s">
        <v>635</v>
      </c>
      <c r="C548" s="21" t="s">
        <v>636</v>
      </c>
      <c r="D548" s="657" t="s">
        <v>637</v>
      </c>
      <c r="E548" s="658"/>
      <c r="F548" s="658"/>
      <c r="G548" s="658"/>
      <c r="H548" s="658"/>
      <c r="I548" s="659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>
      <c r="A549" s="478" t="s">
        <v>635</v>
      </c>
      <c r="B549" s="11">
        <v>0</v>
      </c>
      <c r="C549" s="138" t="s">
        <v>638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>
      <c r="A550" s="478" t="s">
        <v>635</v>
      </c>
      <c r="B550" s="11">
        <v>1</v>
      </c>
      <c r="C550" s="138" t="s">
        <v>639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403">
        <f>(I550-100%)/5</f>
        <v>7.0239064487661821E-3</v>
      </c>
      <c r="K550" s="406">
        <f t="shared" ref="K550:K563" si="144">(I550/100%)^(1/5)-1</f>
        <v>6.9272652964273984E-3</v>
      </c>
      <c r="L550" s="401">
        <v>6.9272652964273984E-3</v>
      </c>
      <c r="M550" s="397"/>
      <c r="N550" s="397"/>
      <c r="O550" s="398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>
      <c r="A551" s="478" t="s">
        <v>635</v>
      </c>
      <c r="B551" s="11">
        <v>2</v>
      </c>
      <c r="C551" s="138" t="s">
        <v>640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403">
        <f t="shared" ref="J551:J563" si="145">(I551-100%)/5</f>
        <v>-1.6639975996230218E-2</v>
      </c>
      <c r="K551" s="406">
        <f t="shared" si="144"/>
        <v>-1.7223117235316776E-2</v>
      </c>
      <c r="L551" s="401">
        <v>-1.7223117235316776E-2</v>
      </c>
      <c r="M551" s="397"/>
      <c r="N551" s="397"/>
      <c r="O551" s="398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>
      <c r="A552" s="478" t="s">
        <v>635</v>
      </c>
      <c r="B552" s="11">
        <v>3</v>
      </c>
      <c r="C552" s="138" t="s">
        <v>641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403">
        <f t="shared" si="145"/>
        <v>2.4561450496655989E-2</v>
      </c>
      <c r="K552" s="406">
        <f t="shared" si="144"/>
        <v>2.3436830336478032E-2</v>
      </c>
      <c r="L552" s="401">
        <v>2.3436830336478032E-2</v>
      </c>
      <c r="M552" s="397"/>
      <c r="N552" s="397"/>
      <c r="O552" s="398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>
      <c r="A553" s="478" t="s">
        <v>635</v>
      </c>
      <c r="B553" s="11">
        <v>4</v>
      </c>
      <c r="C553" s="138" t="s">
        <v>642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403">
        <f t="shared" si="145"/>
        <v>-3.2900402961513866E-3</v>
      </c>
      <c r="K553" s="406">
        <f t="shared" si="144"/>
        <v>-3.3119051937137156E-3</v>
      </c>
      <c r="L553" s="401">
        <v>-3.3119051937137156E-3</v>
      </c>
      <c r="M553" s="397"/>
      <c r="N553" s="397"/>
      <c r="O553" s="398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>
      <c r="A554" s="478" t="s">
        <v>635</v>
      </c>
      <c r="B554" s="11">
        <v>5</v>
      </c>
      <c r="C554" s="138" t="s">
        <v>643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403">
        <f t="shared" si="145"/>
        <v>1.2116163934465796E-4</v>
      </c>
      <c r="K554" s="406">
        <f t="shared" si="144"/>
        <v>1.2113228972654433E-4</v>
      </c>
      <c r="L554" s="401">
        <v>1.2113228972654433E-4</v>
      </c>
      <c r="M554" s="397"/>
      <c r="N554" s="397"/>
      <c r="O554" s="398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>
      <c r="A555" s="478" t="s">
        <v>635</v>
      </c>
      <c r="B555" s="11">
        <v>6</v>
      </c>
      <c r="C555" s="395" t="s">
        <v>644</v>
      </c>
      <c r="D555" s="396"/>
      <c r="E555" s="396">
        <v>1.0123419501207302</v>
      </c>
      <c r="F555" s="396">
        <v>1.0224746276334522</v>
      </c>
      <c r="G555" s="396">
        <v>1.0318096590054313</v>
      </c>
      <c r="H555" s="396">
        <v>1.040568100689119</v>
      </c>
      <c r="I555" s="396">
        <v>1.0491476885800255</v>
      </c>
      <c r="J555" s="411">
        <f t="shared" si="145"/>
        <v>9.8295377160050983E-3</v>
      </c>
      <c r="K555" s="412">
        <f t="shared" si="144"/>
        <v>9.641807463928842E-3</v>
      </c>
      <c r="L555" s="479">
        <v>9.6418074639288403E-3</v>
      </c>
      <c r="M555" s="397"/>
      <c r="N555" s="397"/>
      <c r="O555" s="398"/>
      <c r="P555" s="13"/>
      <c r="Q555" s="399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>
      <c r="A556" s="478" t="s">
        <v>635</v>
      </c>
      <c r="B556" s="11">
        <v>7</v>
      </c>
      <c r="C556" s="138" t="s">
        <v>645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403">
        <f t="shared" si="145"/>
        <v>1.4109286979692959E-2</v>
      </c>
      <c r="K556" s="406">
        <f t="shared" si="144"/>
        <v>1.372720562144969E-2</v>
      </c>
      <c r="L556" s="401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>
      <c r="A557" s="478" t="s">
        <v>635</v>
      </c>
      <c r="B557" s="11">
        <v>8</v>
      </c>
      <c r="C557" s="138" t="s">
        <v>646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403">
        <f t="shared" si="145"/>
        <v>1.544722025999028E-2</v>
      </c>
      <c r="K557" s="406">
        <f t="shared" si="144"/>
        <v>1.4990973227517745E-2</v>
      </c>
      <c r="L557" s="401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>
      <c r="A558" s="478" t="s">
        <v>635</v>
      </c>
      <c r="B558" s="11">
        <v>9</v>
      </c>
      <c r="C558" s="138" t="s">
        <v>647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403">
        <f t="shared" si="145"/>
        <v>1.3936381421862798E-2</v>
      </c>
      <c r="K558" s="406">
        <f t="shared" si="144"/>
        <v>1.3563424108683053E-2</v>
      </c>
      <c r="L558" s="401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>
      <c r="A559" s="478" t="s">
        <v>635</v>
      </c>
      <c r="B559" s="11">
        <v>10</v>
      </c>
      <c r="C559" s="138" t="s">
        <v>648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403">
        <f t="shared" si="145"/>
        <v>1.5948429222628447E-2</v>
      </c>
      <c r="K559" s="406">
        <f t="shared" si="144"/>
        <v>1.5462782371323147E-2</v>
      </c>
      <c r="L559" s="401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>
      <c r="A560" s="478" t="s">
        <v>635</v>
      </c>
      <c r="B560" s="11">
        <v>11</v>
      </c>
      <c r="C560" s="138" t="s">
        <v>649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403">
        <f t="shared" si="145"/>
        <v>1.4026175814113495E-2</v>
      </c>
      <c r="K560" s="406">
        <f t="shared" si="144"/>
        <v>1.364849335671825E-2</v>
      </c>
      <c r="L560" s="401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>
      <c r="A561" s="478" t="s">
        <v>635</v>
      </c>
      <c r="B561" s="11">
        <v>12</v>
      </c>
      <c r="C561" s="138" t="s">
        <v>650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403">
        <f t="shared" si="145"/>
        <v>1.5685467006668709E-2</v>
      </c>
      <c r="K561" s="406">
        <f t="shared" si="144"/>
        <v>1.5215354312122953E-2</v>
      </c>
      <c r="L561" s="401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>
      <c r="A562" s="478" t="s">
        <v>635</v>
      </c>
      <c r="B562" s="11">
        <v>13</v>
      </c>
      <c r="C562" s="138" t="s">
        <v>651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403">
        <f t="shared" si="145"/>
        <v>2.9868018047315557E-2</v>
      </c>
      <c r="K562" s="406">
        <f t="shared" si="144"/>
        <v>2.8228674820024224E-2</v>
      </c>
      <c r="L562" s="401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>
      <c r="A563" s="58"/>
      <c r="B563" s="330">
        <v>14</v>
      </c>
      <c r="C563" s="138" t="s">
        <v>652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403">
        <f t="shared" si="145"/>
        <v>6.5994827799972008E-3</v>
      </c>
      <c r="K563" s="406">
        <f t="shared" si="144"/>
        <v>6.5140621434043311E-3</v>
      </c>
      <c r="L563" s="401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>
      <c r="B564" s="11">
        <v>15</v>
      </c>
      <c r="C564" s="138"/>
      <c r="D564" s="142"/>
      <c r="E564" s="142"/>
      <c r="F564" s="142"/>
      <c r="G564" s="142"/>
      <c r="H564" s="142"/>
      <c r="I564" s="142"/>
      <c r="J564" s="404" t="s">
        <v>653</v>
      </c>
      <c r="K564" s="6"/>
      <c r="L564" s="285" t="s">
        <v>654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>
      <c r="E565" s="15"/>
      <c r="L565" s="285" t="s">
        <v>655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>
      <c r="E566" s="15"/>
      <c r="L566" s="285" t="s">
        <v>656</v>
      </c>
      <c r="M566" s="13"/>
      <c r="N566" s="13"/>
      <c r="O566" s="13"/>
      <c r="P566" s="13"/>
      <c r="Q566" s="13"/>
      <c r="R566" s="400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>
      <c r="C567" s="413" t="s">
        <v>657</v>
      </c>
      <c r="E567" s="15"/>
      <c r="L567" s="285" t="s">
        <v>658</v>
      </c>
      <c r="M567" s="13"/>
      <c r="N567" s="13"/>
      <c r="O567" s="13"/>
      <c r="P567" s="13"/>
      <c r="Q567" s="13"/>
      <c r="R567" s="400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>
      <c r="E568" s="15"/>
      <c r="L568" s="285" t="s">
        <v>659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>
      <c r="E569" s="15"/>
      <c r="L569" s="285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>
      <c r="C570" s="11"/>
      <c r="L570" s="285" t="s">
        <v>660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>
      <c r="C571" s="11"/>
      <c r="L571" s="285" t="s">
        <v>661</v>
      </c>
      <c r="M571" s="13"/>
      <c r="N571" s="13"/>
      <c r="O571" s="500"/>
      <c r="P571" s="501" t="s">
        <v>662</v>
      </c>
      <c r="Q571" s="502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65" customHeight="1">
      <c r="C572" s="11"/>
      <c r="M572" s="13"/>
      <c r="N572" s="13"/>
      <c r="O572" s="505" t="s">
        <v>632</v>
      </c>
      <c r="P572" s="505" t="s">
        <v>633</v>
      </c>
      <c r="Q572" s="506" t="s">
        <v>663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>
      <c r="A573" s="476"/>
      <c r="B573" s="477"/>
      <c r="C573" s="138" t="s">
        <v>639</v>
      </c>
      <c r="D573" s="499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403">
        <f>(N573-100%)/10</f>
        <v>6.0996339197137541E-3</v>
      </c>
      <c r="P573" s="406">
        <f>(N573/100%)^(1/10)-1</f>
        <v>5.9384037531065026E-3</v>
      </c>
      <c r="Q573" s="503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>
      <c r="A574" s="478" t="s">
        <v>664</v>
      </c>
      <c r="C574" s="138" t="s">
        <v>640</v>
      </c>
      <c r="D574" s="499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403">
        <f t="shared" ref="O574:O586" si="146">(N574-100%)/10</f>
        <v>-6.0280923298853817E-3</v>
      </c>
      <c r="P574" s="406">
        <f t="shared" ref="P574:P586" si="147">(N574/100%)^(1/10)-1</f>
        <v>-6.1981420710855994E-3</v>
      </c>
      <c r="Q574" s="503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>
      <c r="A575" s="478" t="s">
        <v>664</v>
      </c>
      <c r="C575" s="138" t="s">
        <v>641</v>
      </c>
      <c r="D575" s="499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403">
        <f t="shared" si="146"/>
        <v>1.5087615236704566E-2</v>
      </c>
      <c r="P575" s="406">
        <f t="shared" si="147"/>
        <v>1.4151550808456648E-2</v>
      </c>
      <c r="Q575" s="503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>
      <c r="A576" s="478" t="s">
        <v>664</v>
      </c>
      <c r="C576" s="138" t="s">
        <v>642</v>
      </c>
      <c r="D576" s="499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403">
        <f t="shared" si="146"/>
        <v>8.1374209845206378E-4</v>
      </c>
      <c r="P576" s="406">
        <f t="shared" si="147"/>
        <v>8.1077757246905691E-4</v>
      </c>
      <c r="Q576" s="503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>
      <c r="A577" s="478" t="s">
        <v>664</v>
      </c>
      <c r="C577" s="138" t="s">
        <v>643</v>
      </c>
      <c r="D577" s="499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403">
        <f t="shared" si="146"/>
        <v>2.5619811438394092E-3</v>
      </c>
      <c r="P577" s="406">
        <f t="shared" si="147"/>
        <v>2.5329148145079028E-3</v>
      </c>
      <c r="Q577" s="503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>
      <c r="A578" s="478" t="s">
        <v>664</v>
      </c>
      <c r="C578" s="395" t="s">
        <v>644</v>
      </c>
      <c r="D578" s="396"/>
      <c r="E578" s="396">
        <v>1.0123419501207302</v>
      </c>
      <c r="F578" s="396">
        <v>1.0224746276334522</v>
      </c>
      <c r="G578" s="396">
        <v>1.0318096590054313</v>
      </c>
      <c r="H578" s="396">
        <v>1.040568100689119</v>
      </c>
      <c r="I578" s="396">
        <v>1.0491476885800255</v>
      </c>
      <c r="J578" s="396">
        <v>1.0546473961073131</v>
      </c>
      <c r="K578" s="396">
        <v>1.0600156863772707</v>
      </c>
      <c r="L578" s="396">
        <v>1.0652587749595908</v>
      </c>
      <c r="M578" s="396">
        <v>1.0703773048442411</v>
      </c>
      <c r="N578" s="396">
        <v>1.0753751834317971</v>
      </c>
      <c r="O578" s="411">
        <f t="shared" si="146"/>
        <v>7.5375183431797051E-3</v>
      </c>
      <c r="P578" s="412">
        <f t="shared" si="147"/>
        <v>7.2934292896156272E-3</v>
      </c>
      <c r="Q578" s="412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>
      <c r="A579" s="478" t="s">
        <v>664</v>
      </c>
      <c r="C579" s="138" t="s">
        <v>645</v>
      </c>
      <c r="D579" s="499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403">
        <f t="shared" si="146"/>
        <v>9.7308873986410305E-3</v>
      </c>
      <c r="P579" s="406">
        <f t="shared" si="147"/>
        <v>9.3293197294876951E-3</v>
      </c>
      <c r="Q579" s="503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>
      <c r="A580" s="478" t="s">
        <v>664</v>
      </c>
      <c r="C580" s="138" t="s">
        <v>646</v>
      </c>
      <c r="D580" s="499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403">
        <f t="shared" si="146"/>
        <v>1.0416577441320607E-2</v>
      </c>
      <c r="P580" s="406">
        <f t="shared" si="147"/>
        <v>9.95826625164975E-3</v>
      </c>
      <c r="Q580" s="503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>
      <c r="A581" s="478" t="s">
        <v>664</v>
      </c>
      <c r="C581" s="138" t="s">
        <v>647</v>
      </c>
      <c r="D581" s="499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403">
        <f t="shared" si="146"/>
        <v>9.64227339891921E-3</v>
      </c>
      <c r="P581" s="406">
        <f t="shared" si="147"/>
        <v>9.2477809488915597E-3</v>
      </c>
      <c r="Q581" s="503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>
      <c r="A582" s="478" t="s">
        <v>664</v>
      </c>
      <c r="C582" s="138" t="s">
        <v>648</v>
      </c>
      <c r="D582" s="499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403">
        <f t="shared" si="146"/>
        <v>1.0673446748664817E-2</v>
      </c>
      <c r="P582" s="406">
        <f t="shared" si="147"/>
        <v>1.0192973847719333E-2</v>
      </c>
      <c r="Q582" s="503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>
      <c r="A583" s="478" t="s">
        <v>664</v>
      </c>
      <c r="C583" s="138" t="s">
        <v>649</v>
      </c>
      <c r="D583" s="499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403">
        <f t="shared" si="146"/>
        <v>9.6882929737077683E-3</v>
      </c>
      <c r="P583" s="406">
        <f t="shared" si="147"/>
        <v>9.2901335764377091E-3</v>
      </c>
      <c r="Q583" s="503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>
      <c r="A584" s="478" t="s">
        <v>664</v>
      </c>
      <c r="C584" s="138" t="s">
        <v>650</v>
      </c>
      <c r="D584" s="499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403">
        <f t="shared" si="146"/>
        <v>1.0538678763041154E-2</v>
      </c>
      <c r="P584" s="406">
        <f t="shared" si="147"/>
        <v>1.0069894342066732E-2</v>
      </c>
      <c r="Q584" s="503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>
      <c r="A585" s="478" t="s">
        <v>664</v>
      </c>
      <c r="C585" s="138" t="s">
        <v>651</v>
      </c>
      <c r="D585" s="499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403">
        <f t="shared" si="146"/>
        <v>1.7807228078299507E-2</v>
      </c>
      <c r="P585" s="406">
        <f t="shared" si="147"/>
        <v>1.6522963134986579E-2</v>
      </c>
      <c r="Q585" s="503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>
      <c r="A586" s="58"/>
      <c r="B586" s="330"/>
      <c r="C586" s="138" t="s">
        <v>652</v>
      </c>
      <c r="D586" s="499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403">
        <f t="shared" si="146"/>
        <v>5.8821170316610384E-3</v>
      </c>
      <c r="P586" s="406">
        <f t="shared" si="147"/>
        <v>5.7319838926312983E-3</v>
      </c>
      <c r="Q586" s="503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>
      <c r="C587" s="11"/>
      <c r="E587" s="15"/>
      <c r="M587" s="13"/>
      <c r="N587" s="13"/>
      <c r="O587" s="404" t="s">
        <v>653</v>
      </c>
      <c r="P587" s="404" t="s">
        <v>653</v>
      </c>
      <c r="Q587" s="504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>
      <c r="C588" s="11"/>
      <c r="E588" s="15"/>
      <c r="M588" s="13"/>
      <c r="N588" s="13"/>
      <c r="O588" s="404" t="s">
        <v>665</v>
      </c>
      <c r="P588" s="404" t="s">
        <v>665</v>
      </c>
      <c r="Q588" s="504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>
      <c r="C589" s="11"/>
      <c r="E589" s="15"/>
      <c r="M589" s="13"/>
      <c r="N589" s="13"/>
      <c r="O589" s="13"/>
      <c r="P589" s="13"/>
      <c r="Q589" s="504" t="s">
        <v>660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>
      <c r="E590" s="15"/>
      <c r="M590" s="13"/>
      <c r="N590" s="13"/>
      <c r="O590" s="13"/>
      <c r="P590" s="13"/>
      <c r="Q590" s="504" t="s">
        <v>661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92"/>
  <sheetViews>
    <sheetView showGridLines="0" zoomScaleNormal="100" workbookViewId="0">
      <selection activeCell="C76" sqref="C76"/>
    </sheetView>
  </sheetViews>
  <sheetFormatPr defaultRowHeight="14.5"/>
  <cols>
    <col min="1" max="1" width="2.453125" customWidth="1"/>
    <col min="2" max="2" width="5.7265625" customWidth="1"/>
    <col min="3" max="3" width="45.54296875" customWidth="1"/>
    <col min="4" max="4" width="19.453125" customWidth="1"/>
    <col min="5" max="5" width="17.26953125" customWidth="1"/>
    <col min="6" max="6" width="13.26953125" customWidth="1"/>
    <col min="7" max="11" width="13.453125" customWidth="1"/>
    <col min="12" max="12" width="15.54296875" customWidth="1"/>
    <col min="13" max="18" width="13.453125" customWidth="1"/>
    <col min="19" max="19" width="3.453125" customWidth="1"/>
  </cols>
  <sheetData>
    <row r="1" spans="2:24" ht="30" customHeight="1">
      <c r="B1" s="432" t="s">
        <v>2</v>
      </c>
    </row>
    <row r="2" spans="2:24" ht="30" customHeight="1">
      <c r="B2" s="154" t="s">
        <v>666</v>
      </c>
      <c r="C2" s="154"/>
      <c r="D2" s="153"/>
      <c r="E2" s="170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4" spans="2:24">
      <c r="B4" s="155" t="s">
        <v>667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156"/>
    </row>
    <row r="5" spans="2:24">
      <c r="B5" s="159"/>
      <c r="C5" t="s">
        <v>668</v>
      </c>
      <c r="S5" s="158"/>
    </row>
    <row r="6" spans="2:24">
      <c r="B6" s="159"/>
      <c r="C6" t="s">
        <v>669</v>
      </c>
      <c r="S6" s="158"/>
    </row>
    <row r="7" spans="2:24">
      <c r="B7" s="159"/>
      <c r="C7" t="s">
        <v>670</v>
      </c>
      <c r="S7" s="158"/>
    </row>
    <row r="8" spans="2:24"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58"/>
    </row>
    <row r="9" spans="2:24">
      <c r="S9" s="195"/>
    </row>
    <row r="10" spans="2:24">
      <c r="B10" s="155" t="s">
        <v>671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158"/>
    </row>
    <row r="11" spans="2:24">
      <c r="B11" s="157"/>
      <c r="C11" t="s">
        <v>672</v>
      </c>
      <c r="E11" s="150" t="s">
        <v>66</v>
      </c>
      <c r="S11" s="158"/>
    </row>
    <row r="12" spans="2:24">
      <c r="B12" s="157"/>
      <c r="C12" t="s">
        <v>86</v>
      </c>
      <c r="E12" s="150" t="s">
        <v>107</v>
      </c>
      <c r="G12" s="128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8"/>
    </row>
    <row r="13" spans="2:24">
      <c r="B13" s="157"/>
      <c r="E13" s="507"/>
      <c r="G13" s="514">
        <f>2.05533586601874%</f>
        <v>2.0553358660187402E-2</v>
      </c>
      <c r="H13" t="s">
        <v>673</v>
      </c>
      <c r="S13" s="158"/>
    </row>
    <row r="14" spans="2:24">
      <c r="B14" s="157"/>
      <c r="C14" s="148"/>
      <c r="G14" s="128">
        <f>(100%+G13)*G12</f>
        <v>46148904.437507473</v>
      </c>
      <c r="H14" t="s">
        <v>674</v>
      </c>
      <c r="S14" s="158"/>
    </row>
    <row r="15" spans="2:24">
      <c r="B15" s="159"/>
      <c r="C15" t="s">
        <v>675</v>
      </c>
      <c r="E15" s="515" t="s">
        <v>64</v>
      </c>
      <c r="F15" s="169" t="str">
        <f>IF(E15="yes","","If no, enter current locality population below")</f>
        <v/>
      </c>
      <c r="S15" s="158"/>
    </row>
    <row r="16" spans="2:24">
      <c r="B16" s="159"/>
      <c r="F16" s="169" t="str">
        <f>IF(AND(NOT(ISBLANK(E17)),E15="yes"),"error - change cell above to 'no'","")</f>
        <v/>
      </c>
      <c r="S16" s="158"/>
    </row>
    <row r="17" spans="2:24">
      <c r="B17" s="159"/>
      <c r="C17" t="str">
        <f>"Manually entered current locality population "&amp;IF(E15="no","","(n/a)")</f>
        <v>Manually entered current locality population (n/a)</v>
      </c>
      <c r="E17" s="516"/>
      <c r="F17" s="586" t="str">
        <f>IF(E15="yes","Leave blue cell on left blank if NICE estimate is used","")</f>
        <v>Leave blue cell on left blank if NICE estimate is used</v>
      </c>
      <c r="S17" s="158"/>
    </row>
    <row r="18" spans="2:24">
      <c r="B18" s="159"/>
      <c r="F18" s="169" t="str">
        <f>IF(AND(ISBLANK(E17),E15="no"),"error - enter current locality population above","")</f>
        <v/>
      </c>
      <c r="S18" s="158"/>
    </row>
    <row r="19" spans="2:24">
      <c r="B19" s="159"/>
      <c r="C19" t="s">
        <v>676</v>
      </c>
      <c r="D19" s="152"/>
      <c r="E19" s="514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8"/>
    </row>
    <row r="20" spans="2:24">
      <c r="B20" s="159"/>
      <c r="C20" t="s">
        <v>677</v>
      </c>
      <c r="D20" s="152"/>
      <c r="E20" s="514">
        <v>0</v>
      </c>
      <c r="F20" t="str">
        <f>IF(E20=0,"Enter local value or delete the NICE assumption if required","Local value")</f>
        <v>Enter local value or delete the NICE assumption if required</v>
      </c>
      <c r="S20" s="158"/>
    </row>
    <row r="21" spans="2:24"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2"/>
    </row>
    <row r="23" spans="2:24">
      <c r="B23" s="155" t="s">
        <v>678</v>
      </c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156"/>
    </row>
    <row r="24" spans="2:24" ht="93" customHeight="1">
      <c r="B24" s="157"/>
      <c r="F24" s="229" t="s">
        <v>679</v>
      </c>
      <c r="G24" s="164" t="s">
        <v>680</v>
      </c>
      <c r="H24" s="217" t="s">
        <v>681</v>
      </c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218"/>
    </row>
    <row r="25" spans="2:24">
      <c r="B25" s="157"/>
      <c r="C25" s="228" t="s">
        <v>682</v>
      </c>
      <c r="D25" s="231"/>
      <c r="E25" s="167"/>
      <c r="F25" s="128">
        <f>IF(ISBLANK(E17),G14,'Population selection'!F16)</f>
        <v>46148904.437507473</v>
      </c>
      <c r="G25" s="230"/>
      <c r="H25" s="227" t="s">
        <v>683</v>
      </c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67"/>
    </row>
    <row r="26" spans="2:24">
      <c r="B26" s="157"/>
      <c r="C26" s="508" t="s">
        <v>684</v>
      </c>
      <c r="D26" s="232"/>
      <c r="E26" s="167"/>
      <c r="F26" s="205"/>
      <c r="G26" s="128">
        <f>K38</f>
        <v>48417016.421111427</v>
      </c>
      <c r="H26" s="227" t="s">
        <v>683</v>
      </c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2"/>
    </row>
    <row r="27" spans="2:24">
      <c r="B27" s="159"/>
      <c r="C27" s="166" t="s">
        <v>685</v>
      </c>
      <c r="D27" s="167"/>
      <c r="E27" s="514">
        <v>0.11799999999999999</v>
      </c>
      <c r="F27" s="517">
        <f>E27*F25</f>
        <v>5445570.7236258816</v>
      </c>
      <c r="G27" s="517">
        <f>E27*G26</f>
        <v>5713207.9376911484</v>
      </c>
      <c r="H27" s="596" t="s">
        <v>686</v>
      </c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67"/>
    </row>
    <row r="28" spans="2:24" ht="28.5" customHeight="1">
      <c r="B28" s="159"/>
      <c r="C28" s="227" t="s">
        <v>687</v>
      </c>
      <c r="D28" s="167"/>
      <c r="E28" s="514">
        <v>4.9188416346863391E-2</v>
      </c>
      <c r="F28" s="517">
        <f>E28*F27</f>
        <v>267859</v>
      </c>
      <c r="G28" s="517">
        <f>E28*G27</f>
        <v>281023.65071535698</v>
      </c>
      <c r="H28" s="660" t="s">
        <v>688</v>
      </c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2"/>
    </row>
    <row r="29" spans="2:24">
      <c r="B29" s="159"/>
      <c r="C29" s="216" t="s">
        <v>689</v>
      </c>
      <c r="D29" s="195"/>
      <c r="E29" s="613"/>
      <c r="F29" s="180">
        <f>F28</f>
        <v>267859</v>
      </c>
      <c r="G29" s="180">
        <f>G28</f>
        <v>281023.65071535698</v>
      </c>
      <c r="H29" s="197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67"/>
    </row>
    <row r="30" spans="2:24">
      <c r="B30" s="159"/>
      <c r="C30" s="303"/>
      <c r="E30" s="304"/>
      <c r="F30" s="305"/>
      <c r="G30" s="305"/>
      <c r="H30" s="189"/>
      <c r="N30" s="148"/>
      <c r="X30" s="158"/>
    </row>
    <row r="31" spans="2:24">
      <c r="B31" s="159"/>
      <c r="C31" t="s">
        <v>690</v>
      </c>
      <c r="F31" s="515" t="s">
        <v>64</v>
      </c>
      <c r="G31" s="305"/>
      <c r="H31" s="189"/>
      <c r="Q31" s="621"/>
      <c r="R31" s="274"/>
      <c r="X31" s="158"/>
    </row>
    <row r="32" spans="2:24">
      <c r="B32" s="159"/>
      <c r="C32" s="303"/>
      <c r="E32" s="304"/>
      <c r="F32" s="305"/>
      <c r="G32" s="305"/>
      <c r="H32" s="189"/>
      <c r="Q32" s="621"/>
      <c r="R32" s="274"/>
      <c r="X32" s="158"/>
    </row>
    <row r="33" spans="2:24">
      <c r="B33" s="159"/>
      <c r="C33" t="str">
        <f>"Manually entered current eligible population "&amp;IF(F31="no","","(n/a)")</f>
        <v>Manually entered current eligible population (n/a)</v>
      </c>
      <c r="F33" s="518"/>
      <c r="G33" s="582" t="str">
        <f>IF(F31="yes","Leave blue cell on left blank if NICE estimate is used","local value")</f>
        <v>Leave blue cell on left blank if NICE estimate is used</v>
      </c>
      <c r="Q33" s="621"/>
      <c r="R33" s="274"/>
      <c r="X33" s="158"/>
    </row>
    <row r="34" spans="2:24">
      <c r="B34" s="159"/>
      <c r="G34" s="453" t="str">
        <f>IF(AND(F31="yes",F33&gt;0),"error, set the drop down above to be 'no'","")</f>
        <v/>
      </c>
      <c r="N34" s="148"/>
      <c r="R34" s="305"/>
      <c r="X34" s="158"/>
    </row>
    <row r="35" spans="2:24" ht="43.5">
      <c r="B35" s="159"/>
      <c r="C35" s="161"/>
      <c r="F35" s="225" t="s">
        <v>679</v>
      </c>
      <c r="G35" s="164" t="s">
        <v>691</v>
      </c>
      <c r="H35" s="164" t="s">
        <v>692</v>
      </c>
      <c r="I35" s="226" t="s">
        <v>693</v>
      </c>
      <c r="J35" s="164" t="s">
        <v>694</v>
      </c>
      <c r="K35" s="164" t="s">
        <v>695</v>
      </c>
      <c r="L35" s="454"/>
      <c r="M35" s="454"/>
      <c r="N35" s="454"/>
      <c r="O35" s="454"/>
      <c r="P35" s="454"/>
      <c r="Q35" s="454"/>
      <c r="X35" s="158"/>
    </row>
    <row r="36" spans="2:24">
      <c r="B36" s="159"/>
      <c r="C36" s="227" t="s">
        <v>696</v>
      </c>
      <c r="D36" s="195"/>
      <c r="E36" s="167"/>
      <c r="F36" s="205"/>
      <c r="G36" s="296">
        <f>IF(E19&lt;&gt;"",E19+100%,100%)</f>
        <v>1.0096418074639288</v>
      </c>
      <c r="H36" s="296">
        <f>IF($E$19&lt;&gt;"",G36*(100%+$E$19),100%)</f>
        <v>1.0193765793790293</v>
      </c>
      <c r="I36" s="296">
        <f>IF($E$19&lt;&gt;"",H36*(100%+$E$19),100%)</f>
        <v>1.0292052120906403</v>
      </c>
      <c r="J36" s="296">
        <f>IF($E$19&lt;&gt;"",I36*(100%+$E$19),100%)</f>
        <v>1.0391286105864903</v>
      </c>
      <c r="K36" s="296">
        <f>IF($E$19&lt;&gt;"",J36*(100%+$E$19),100%)</f>
        <v>1.0491476885800251</v>
      </c>
      <c r="L36" t="s">
        <v>697</v>
      </c>
      <c r="M36" s="445"/>
      <c r="N36" s="445"/>
      <c r="O36" s="445"/>
      <c r="P36" s="445"/>
      <c r="Q36" s="445"/>
      <c r="X36" s="158"/>
    </row>
    <row r="37" spans="2:24">
      <c r="B37" s="159"/>
      <c r="C37" s="227" t="s">
        <v>698</v>
      </c>
      <c r="D37" s="195"/>
      <c r="E37" s="167"/>
      <c r="F37" s="205"/>
      <c r="G37" s="296">
        <f>IF(E20&lt;&gt;"",E20+100%,100%)</f>
        <v>1</v>
      </c>
      <c r="H37" s="296">
        <f>IF($E$20&lt;&gt;"",G37*(100%+$E$20),100%)</f>
        <v>1</v>
      </c>
      <c r="I37" s="296">
        <f>IF($E$20&lt;&gt;"",H37*(100%+$E$20),100%)</f>
        <v>1</v>
      </c>
      <c r="J37" s="296">
        <f>IF($E$20&lt;&gt;"",I37*(100%+$E$20),100%)</f>
        <v>1</v>
      </c>
      <c r="K37" s="296">
        <f>IF($E$20&lt;&gt;"",J37*(100%+$E$20),100%)</f>
        <v>1</v>
      </c>
      <c r="L37" t="s">
        <v>697</v>
      </c>
      <c r="M37" s="445"/>
      <c r="N37" s="620"/>
      <c r="O37" s="445"/>
      <c r="P37" s="445"/>
      <c r="Q37" s="445"/>
      <c r="X37" s="158"/>
    </row>
    <row r="38" spans="2:24" ht="21" customHeight="1">
      <c r="B38" s="159"/>
      <c r="C38" s="597" t="str">
        <f>IF('Inputs and eligible population'!E17=0,"Baseline population (inflated by growth(s))","Manually entered locality population (inflated by growth(s))")</f>
        <v>Baseline population (inflated by growth(s))</v>
      </c>
      <c r="D38" s="195"/>
      <c r="E38" s="167"/>
      <c r="F38" s="128">
        <f>IF(ISBLANK(E17),G14,'Population selection'!F16)</f>
        <v>46148904.437507473</v>
      </c>
      <c r="G38" s="128">
        <f>F38*G36</f>
        <v>46593863.28876517</v>
      </c>
      <c r="H38" s="128">
        <f>F38*H36</f>
        <v>47043112.347596072</v>
      </c>
      <c r="I38" s="128">
        <f>F38*I36</f>
        <v>47496692.979355574</v>
      </c>
      <c r="J38" s="128">
        <f>F38*J36</f>
        <v>47954646.948235855</v>
      </c>
      <c r="K38" s="128">
        <f>F38*K36</f>
        <v>48417016.421111427</v>
      </c>
      <c r="M38" s="274"/>
      <c r="N38" s="274"/>
      <c r="O38" s="274"/>
      <c r="P38" s="274"/>
      <c r="Q38" s="274"/>
      <c r="X38" s="158"/>
    </row>
    <row r="39" spans="2:24">
      <c r="B39" s="159"/>
      <c r="C39" s="216" t="str">
        <f>IF(ISBLANK(F33),"Eligible population, NICE estimate","Eligible population, local estimate")</f>
        <v>Eligible population, NICE estimate</v>
      </c>
      <c r="D39" s="195"/>
      <c r="E39" s="167"/>
      <c r="F39" s="180">
        <f>IF(ISBLANK(F33),F29,F33)</f>
        <v>267859</v>
      </c>
      <c r="G39" s="180">
        <f>$F$39*G36*G37</f>
        <v>270441.6449054805</v>
      </c>
      <c r="H39" s="180">
        <f>$F$39*H36*H37</f>
        <v>273049.19117588742</v>
      </c>
      <c r="I39" s="180">
        <f>$F$39*I36*I37</f>
        <v>275681.87890538684</v>
      </c>
      <c r="J39" s="180">
        <f>$F$39*J36*J37</f>
        <v>278339.95050308673</v>
      </c>
      <c r="K39" s="180">
        <f>$F$39*K36*K37</f>
        <v>281023.65071535693</v>
      </c>
      <c r="L39" s="169" t="str">
        <f>IF(F31="no","local estimate used","")</f>
        <v/>
      </c>
      <c r="M39" s="305"/>
      <c r="N39" s="305"/>
      <c r="O39" s="305"/>
      <c r="P39" s="305"/>
      <c r="Q39" s="305"/>
      <c r="X39" s="158"/>
    </row>
    <row r="40" spans="2:24"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2"/>
    </row>
    <row r="43" spans="2:24">
      <c r="B43" s="155" t="s">
        <v>699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156"/>
    </row>
    <row r="44" spans="2:24">
      <c r="B44" s="159"/>
      <c r="D44" s="208" t="s">
        <v>700</v>
      </c>
      <c r="E44" s="208" t="s">
        <v>701</v>
      </c>
      <c r="F44" s="208" t="s">
        <v>702</v>
      </c>
      <c r="G44" s="208" t="s">
        <v>703</v>
      </c>
      <c r="H44" s="208" t="s">
        <v>704</v>
      </c>
      <c r="I44" s="208" t="s">
        <v>705</v>
      </c>
      <c r="J44" s="208" t="s">
        <v>706</v>
      </c>
      <c r="K44" s="208" t="s">
        <v>707</v>
      </c>
      <c r="L44" s="448"/>
      <c r="M44" s="448"/>
      <c r="N44" s="448"/>
      <c r="O44" s="448"/>
      <c r="P44" s="448"/>
      <c r="Q44" s="448"/>
      <c r="S44" s="158"/>
    </row>
    <row r="45" spans="2:24">
      <c r="B45" s="159"/>
      <c r="C45" s="293" t="s">
        <v>708</v>
      </c>
      <c r="D45" s="519"/>
      <c r="E45" s="520">
        <v>365</v>
      </c>
      <c r="F45" s="548">
        <v>12</v>
      </c>
      <c r="G45" s="525">
        <v>12</v>
      </c>
      <c r="H45" s="525">
        <v>12</v>
      </c>
      <c r="I45" s="525">
        <v>12</v>
      </c>
      <c r="J45" s="525">
        <v>12</v>
      </c>
      <c r="K45" s="292">
        <f>SUM(F45:J45)</f>
        <v>60</v>
      </c>
      <c r="S45" s="158"/>
    </row>
    <row r="46" spans="2:24">
      <c r="B46" s="159"/>
      <c r="C46" s="293" t="s">
        <v>709</v>
      </c>
      <c r="D46" s="522"/>
      <c r="E46" s="520">
        <v>365</v>
      </c>
      <c r="F46" s="548">
        <v>12</v>
      </c>
      <c r="G46" s="525">
        <v>12</v>
      </c>
      <c r="H46" s="525">
        <v>12</v>
      </c>
      <c r="I46" s="525">
        <v>12</v>
      </c>
      <c r="J46" s="525">
        <v>12</v>
      </c>
      <c r="K46" s="292">
        <f t="shared" ref="K46" si="0">SUM(F46:J46)</f>
        <v>60</v>
      </c>
      <c r="L46" s="446"/>
      <c r="M46" s="446"/>
      <c r="N46" s="446"/>
      <c r="O46" s="446"/>
      <c r="P46" s="446"/>
      <c r="Q46" s="446"/>
      <c r="S46" s="158"/>
    </row>
    <row r="47" spans="2:24">
      <c r="B47" s="159"/>
      <c r="D47" s="152"/>
      <c r="E47" s="152"/>
      <c r="F47" s="152"/>
      <c r="G47" s="152"/>
      <c r="S47" s="158"/>
    </row>
    <row r="48" spans="2:24" ht="32.15" customHeight="1">
      <c r="B48" s="159"/>
      <c r="C48" s="205" t="s">
        <v>710</v>
      </c>
      <c r="D48" s="210" t="s">
        <v>711</v>
      </c>
      <c r="E48" s="206"/>
      <c r="F48" s="206"/>
      <c r="G48" s="206"/>
      <c r="H48" s="207"/>
      <c r="I48" s="208" t="s">
        <v>712</v>
      </c>
      <c r="J48" s="164" t="s">
        <v>713</v>
      </c>
      <c r="K48" s="208" t="s">
        <v>714</v>
      </c>
      <c r="S48" s="158"/>
    </row>
    <row r="49" spans="2:19">
      <c r="B49" s="159"/>
      <c r="C49" s="293" t="s">
        <v>708</v>
      </c>
      <c r="D49" s="197" t="s">
        <v>715</v>
      </c>
      <c r="E49" s="198"/>
      <c r="F49" s="198"/>
      <c r="G49" s="198"/>
      <c r="H49" s="195"/>
      <c r="I49" s="523">
        <v>26.68</v>
      </c>
      <c r="J49" s="524">
        <v>0</v>
      </c>
      <c r="K49" s="149" t="s">
        <v>928</v>
      </c>
      <c r="S49" s="158"/>
    </row>
    <row r="50" spans="2:19">
      <c r="B50" s="159"/>
      <c r="C50" s="293" t="s">
        <v>709</v>
      </c>
      <c r="D50" s="197" t="s">
        <v>716</v>
      </c>
      <c r="E50" s="198"/>
      <c r="F50" s="198"/>
      <c r="G50" s="198"/>
      <c r="H50" s="195"/>
      <c r="I50" s="523">
        <v>29</v>
      </c>
      <c r="J50" s="524">
        <v>0</v>
      </c>
      <c r="K50" s="298" t="s">
        <v>717</v>
      </c>
      <c r="L50" s="447"/>
      <c r="M50" s="447"/>
      <c r="N50" s="447"/>
      <c r="O50" s="447"/>
      <c r="P50" s="447"/>
      <c r="Q50" s="447"/>
      <c r="S50" s="158"/>
    </row>
    <row r="51" spans="2:19">
      <c r="B51" s="159"/>
      <c r="C51" s="619" t="s">
        <v>927</v>
      </c>
      <c r="D51" s="152"/>
      <c r="E51" s="152"/>
      <c r="F51" s="152"/>
      <c r="G51" s="152"/>
      <c r="S51" s="158"/>
    </row>
    <row r="52" spans="2:19">
      <c r="B52" s="159"/>
      <c r="C52" s="193" t="s">
        <v>718</v>
      </c>
      <c r="D52" s="152"/>
      <c r="E52" s="152"/>
      <c r="F52" s="152"/>
      <c r="G52" s="152"/>
      <c r="S52" s="158"/>
    </row>
    <row r="53" spans="2:19">
      <c r="B53" s="159"/>
      <c r="C53" s="619" t="s">
        <v>719</v>
      </c>
      <c r="D53" s="152"/>
      <c r="E53" s="152"/>
      <c r="F53" s="152"/>
      <c r="G53" s="152"/>
      <c r="S53" s="158"/>
    </row>
    <row r="54" spans="2:19">
      <c r="B54" s="159"/>
      <c r="S54" s="158"/>
    </row>
    <row r="55" spans="2:19">
      <c r="B55" s="159"/>
      <c r="C55" s="148" t="s">
        <v>720</v>
      </c>
      <c r="S55" s="158"/>
    </row>
    <row r="56" spans="2:19">
      <c r="B56" s="159"/>
      <c r="D56" s="306" t="s">
        <v>721</v>
      </c>
      <c r="E56" s="209" t="s">
        <v>722</v>
      </c>
      <c r="F56" s="209" t="s">
        <v>723</v>
      </c>
      <c r="G56" s="209" t="s">
        <v>724</v>
      </c>
      <c r="H56" s="209" t="s">
        <v>725</v>
      </c>
      <c r="I56" s="208" t="s">
        <v>726</v>
      </c>
      <c r="J56" s="208" t="s">
        <v>727</v>
      </c>
      <c r="L56" s="208" t="s">
        <v>722</v>
      </c>
      <c r="M56" s="455" t="s">
        <v>723</v>
      </c>
      <c r="N56" s="209" t="s">
        <v>724</v>
      </c>
      <c r="O56" s="209" t="s">
        <v>725</v>
      </c>
      <c r="P56" s="208" t="s">
        <v>726</v>
      </c>
      <c r="Q56" s="208" t="s">
        <v>727</v>
      </c>
      <c r="S56" s="158"/>
    </row>
    <row r="57" spans="2:19">
      <c r="B57" s="159"/>
      <c r="D57" s="293" t="s">
        <v>708</v>
      </c>
      <c r="E57" s="598">
        <v>0</v>
      </c>
      <c r="F57" s="599">
        <v>0.05</v>
      </c>
      <c r="G57" s="599">
        <v>7.4999999999999997E-2</v>
      </c>
      <c r="H57" s="599">
        <v>0.1</v>
      </c>
      <c r="I57" s="599">
        <v>0.125</v>
      </c>
      <c r="J57" s="599">
        <v>0.15</v>
      </c>
      <c r="L57" s="456">
        <f t="shared" ref="L57:Q57" si="1">F39*E57</f>
        <v>0</v>
      </c>
      <c r="M57" s="449">
        <f t="shared" si="1"/>
        <v>13522.082245274025</v>
      </c>
      <c r="N57" s="449">
        <f t="shared" si="1"/>
        <v>20478.689338191554</v>
      </c>
      <c r="O57" s="449">
        <f t="shared" si="1"/>
        <v>27568.187890538684</v>
      </c>
      <c r="P57" s="449">
        <f t="shared" si="1"/>
        <v>34792.493812885841</v>
      </c>
      <c r="Q57" s="449">
        <f t="shared" si="1"/>
        <v>42153.547607303539</v>
      </c>
      <c r="S57" s="158"/>
    </row>
    <row r="58" spans="2:19">
      <c r="B58" s="159"/>
      <c r="D58" s="293" t="s">
        <v>709</v>
      </c>
      <c r="E58" s="598">
        <v>1</v>
      </c>
      <c r="F58" s="599">
        <v>0.95</v>
      </c>
      <c r="G58" s="599">
        <v>0.92500000000000004</v>
      </c>
      <c r="H58" s="599">
        <v>0.9</v>
      </c>
      <c r="I58" s="599">
        <v>0.875</v>
      </c>
      <c r="J58" s="599">
        <v>0.85</v>
      </c>
      <c r="L58" s="449">
        <f t="shared" ref="L58:Q58" si="2">F39*E58</f>
        <v>267859</v>
      </c>
      <c r="M58" s="449">
        <f t="shared" si="2"/>
        <v>256919.56266020646</v>
      </c>
      <c r="N58" s="449">
        <f t="shared" si="2"/>
        <v>252570.50183769586</v>
      </c>
      <c r="O58" s="449">
        <f t="shared" si="2"/>
        <v>248113.69101484815</v>
      </c>
      <c r="P58" s="449">
        <f t="shared" si="2"/>
        <v>243547.4566902009</v>
      </c>
      <c r="Q58" s="449">
        <f t="shared" si="2"/>
        <v>238870.10310805339</v>
      </c>
      <c r="S58" s="158"/>
    </row>
    <row r="59" spans="2:19">
      <c r="B59" s="159"/>
      <c r="E59" s="151">
        <f t="shared" ref="E59:J59" si="3">SUM(E57:E58)</f>
        <v>1</v>
      </c>
      <c r="F59" s="151">
        <f t="shared" si="3"/>
        <v>1</v>
      </c>
      <c r="G59" s="151">
        <f t="shared" si="3"/>
        <v>1</v>
      </c>
      <c r="H59" s="151">
        <f t="shared" si="3"/>
        <v>1</v>
      </c>
      <c r="I59" s="151">
        <f t="shared" si="3"/>
        <v>1</v>
      </c>
      <c r="J59" s="151">
        <f t="shared" si="3"/>
        <v>1</v>
      </c>
      <c r="L59" s="297">
        <f t="shared" ref="L59:Q59" si="4">SUM(L57:L58)</f>
        <v>267859</v>
      </c>
      <c r="M59" s="297">
        <f t="shared" si="4"/>
        <v>270441.6449054805</v>
      </c>
      <c r="N59" s="297">
        <f t="shared" si="4"/>
        <v>273049.19117588742</v>
      </c>
      <c r="O59" s="297">
        <f t="shared" si="4"/>
        <v>275681.87890538684</v>
      </c>
      <c r="P59" s="297">
        <f t="shared" si="4"/>
        <v>278339.95050308673</v>
      </c>
      <c r="Q59" s="297">
        <f t="shared" si="4"/>
        <v>281023.65071535693</v>
      </c>
      <c r="S59" s="158"/>
    </row>
    <row r="60" spans="2:19">
      <c r="B60" s="159"/>
      <c r="E60" s="300"/>
      <c r="F60" s="300"/>
      <c r="G60" s="300"/>
      <c r="H60" s="300"/>
      <c r="I60" s="300"/>
      <c r="J60" s="300"/>
      <c r="S60" s="158"/>
    </row>
    <row r="61" spans="2:19">
      <c r="B61" s="159"/>
      <c r="C61" t="s">
        <v>728</v>
      </c>
      <c r="E61" s="430"/>
      <c r="F61" s="430"/>
      <c r="G61" s="430"/>
      <c r="H61" s="430"/>
      <c r="I61" s="430"/>
      <c r="J61" s="430"/>
      <c r="M61" s="274"/>
      <c r="N61" s="274"/>
      <c r="O61" s="274"/>
      <c r="P61" s="274"/>
      <c r="Q61" s="274"/>
      <c r="S61" s="158"/>
    </row>
    <row r="62" spans="2:19">
      <c r="B62" s="160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2"/>
    </row>
    <row r="63" spans="2:19">
      <c r="D63" s="195"/>
      <c r="K63" s="195"/>
    </row>
    <row r="64" spans="2:19">
      <c r="B64" s="155" t="s">
        <v>729</v>
      </c>
      <c r="C64" s="283"/>
      <c r="E64" s="283"/>
      <c r="F64" s="283"/>
      <c r="G64" s="283"/>
      <c r="H64" s="283"/>
      <c r="I64" s="283"/>
      <c r="J64" s="283"/>
      <c r="L64" s="283"/>
      <c r="M64" s="283"/>
      <c r="N64" s="283"/>
      <c r="O64" s="283"/>
      <c r="P64" s="283"/>
      <c r="Q64" s="283"/>
      <c r="R64" s="283"/>
      <c r="S64" s="156"/>
    </row>
    <row r="65" spans="2:19">
      <c r="B65" s="159" t="s">
        <v>730</v>
      </c>
      <c r="S65" s="158"/>
    </row>
    <row r="66" spans="2:19">
      <c r="B66" s="159" t="s">
        <v>731</v>
      </c>
      <c r="S66" s="158"/>
    </row>
    <row r="67" spans="2:19">
      <c r="B67" s="159"/>
      <c r="C67" s="299"/>
      <c r="D67" s="211"/>
      <c r="E67" s="211"/>
      <c r="F67" s="211"/>
      <c r="J67" s="148" t="s">
        <v>953</v>
      </c>
      <c r="S67" s="158"/>
    </row>
    <row r="68" spans="2:19" ht="43.15" customHeight="1">
      <c r="B68" s="159"/>
      <c r="C68" s="336" t="s">
        <v>732</v>
      </c>
      <c r="D68" s="336" t="s">
        <v>733</v>
      </c>
      <c r="E68" s="336" t="s">
        <v>734</v>
      </c>
      <c r="F68" s="240" t="s">
        <v>708</v>
      </c>
      <c r="G68" s="240" t="s">
        <v>709</v>
      </c>
      <c r="H68" s="602"/>
      <c r="J68" s="336" t="s">
        <v>735</v>
      </c>
      <c r="K68" s="336" t="s">
        <v>736</v>
      </c>
      <c r="S68" s="158"/>
    </row>
    <row r="69" spans="2:19" ht="29">
      <c r="B69" s="159"/>
      <c r="C69" s="337" t="s">
        <v>737</v>
      </c>
      <c r="D69" s="164" t="s">
        <v>738</v>
      </c>
      <c r="E69" s="164" t="s">
        <v>739</v>
      </c>
      <c r="F69" s="526">
        <v>1</v>
      </c>
      <c r="G69" s="600">
        <v>1</v>
      </c>
      <c r="H69" s="603"/>
      <c r="J69" s="205"/>
      <c r="K69" s="205"/>
      <c r="S69" s="158"/>
    </row>
    <row r="70" spans="2:19" ht="43.5">
      <c r="B70" s="159"/>
      <c r="C70" s="337" t="s">
        <v>737</v>
      </c>
      <c r="D70" s="164" t="s">
        <v>740</v>
      </c>
      <c r="E70" s="164" t="s">
        <v>741</v>
      </c>
      <c r="F70" s="521">
        <v>30</v>
      </c>
      <c r="G70" s="601">
        <v>30</v>
      </c>
      <c r="H70" s="603"/>
      <c r="J70" s="527" t="s">
        <v>742</v>
      </c>
      <c r="K70" s="528">
        <f>VLOOKUP(J70,payscales!$B$12:$K$47,10,0)</f>
        <v>121.08</v>
      </c>
      <c r="S70" s="158"/>
    </row>
    <row r="71" spans="2:19" ht="29">
      <c r="B71" s="159"/>
      <c r="C71" s="337" t="s">
        <v>737</v>
      </c>
      <c r="D71" s="164" t="s">
        <v>743</v>
      </c>
      <c r="E71" s="164" t="s">
        <v>739</v>
      </c>
      <c r="F71" s="521"/>
      <c r="G71" s="601"/>
      <c r="H71" s="603"/>
      <c r="J71" s="205"/>
      <c r="K71" s="205"/>
      <c r="S71" s="158"/>
    </row>
    <row r="72" spans="2:19" ht="43.5">
      <c r="B72" s="159"/>
      <c r="C72" s="337" t="s">
        <v>737</v>
      </c>
      <c r="D72" s="164" t="s">
        <v>744</v>
      </c>
      <c r="E72" s="164" t="s">
        <v>741</v>
      </c>
      <c r="F72" s="521"/>
      <c r="G72" s="601"/>
      <c r="H72" s="603"/>
      <c r="J72" s="527" t="s">
        <v>742</v>
      </c>
      <c r="K72" s="528">
        <f>VLOOKUP(J72,payscales!$B$12:$K$47,10,0)</f>
        <v>121.08</v>
      </c>
      <c r="S72" s="158"/>
    </row>
    <row r="73" spans="2:19">
      <c r="B73" s="159"/>
      <c r="C73" s="299"/>
      <c r="D73" s="211"/>
      <c r="E73" s="211"/>
      <c r="F73" s="211"/>
      <c r="S73" s="158"/>
    </row>
    <row r="74" spans="2:19">
      <c r="B74" s="159"/>
      <c r="C74" s="196" t="s">
        <v>745</v>
      </c>
      <c r="D74" s="152"/>
      <c r="S74" s="158"/>
    </row>
    <row r="75" spans="2:19">
      <c r="B75" s="159"/>
      <c r="C75" t="s">
        <v>746</v>
      </c>
      <c r="D75" s="152"/>
      <c r="S75" s="158"/>
    </row>
    <row r="76" spans="2:19">
      <c r="B76" s="159"/>
      <c r="C76" t="s">
        <v>956</v>
      </c>
      <c r="D76" s="152"/>
      <c r="E76" s="152"/>
      <c r="F76" s="152"/>
      <c r="G76" s="152"/>
      <c r="S76" s="158"/>
    </row>
    <row r="77" spans="2:19">
      <c r="B77" s="160"/>
      <c r="C77" s="161"/>
      <c r="D77" s="163"/>
      <c r="E77" s="163"/>
      <c r="F77" s="163"/>
      <c r="G77" s="163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2"/>
    </row>
    <row r="78" spans="2:19">
      <c r="D78" s="152"/>
      <c r="E78" s="152"/>
      <c r="F78" s="152"/>
      <c r="G78" s="152"/>
    </row>
    <row r="79" spans="2:19">
      <c r="B79" s="333" t="s">
        <v>747</v>
      </c>
      <c r="C79" s="332"/>
      <c r="D79" s="332"/>
      <c r="E79" s="332"/>
      <c r="F79" s="332"/>
      <c r="G79" s="332"/>
      <c r="H79" s="332"/>
      <c r="I79" s="332"/>
      <c r="J79" s="332"/>
      <c r="K79" s="332"/>
      <c r="L79" s="332"/>
      <c r="M79" s="332"/>
      <c r="N79" s="332"/>
      <c r="O79" s="332"/>
      <c r="P79" s="332"/>
      <c r="Q79" s="332"/>
      <c r="R79" s="332"/>
      <c r="S79" s="218"/>
    </row>
    <row r="80" spans="2:19">
      <c r="B80" s="222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23"/>
    </row>
    <row r="81" spans="2:19">
      <c r="B81" s="222"/>
      <c r="C81" s="588" t="s">
        <v>748</v>
      </c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23"/>
    </row>
    <row r="82" spans="2:19">
      <c r="B82" s="222"/>
      <c r="C82" s="583" t="s">
        <v>749</v>
      </c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23"/>
    </row>
    <row r="83" spans="2:19">
      <c r="B83" s="222"/>
      <c r="C83" s="583" t="s">
        <v>750</v>
      </c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23"/>
    </row>
    <row r="84" spans="2:19">
      <c r="B84" s="222"/>
      <c r="C84" s="360" t="s">
        <v>751</v>
      </c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23"/>
    </row>
    <row r="85" spans="2:19">
      <c r="B85" s="222"/>
      <c r="C85" s="360" t="s">
        <v>752</v>
      </c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23"/>
    </row>
    <row r="86" spans="2:19">
      <c r="B86" s="222"/>
      <c r="C86" s="360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23"/>
    </row>
    <row r="87" spans="2:19">
      <c r="B87" s="222"/>
      <c r="C87" s="587" t="s">
        <v>753</v>
      </c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23"/>
    </row>
    <row r="88" spans="2:19">
      <c r="B88" s="222"/>
      <c r="C88" s="583" t="s">
        <v>754</v>
      </c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23"/>
    </row>
    <row r="89" spans="2:19">
      <c r="B89" s="222"/>
      <c r="C89" s="360" t="s">
        <v>755</v>
      </c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23"/>
    </row>
    <row r="90" spans="2:19">
      <c r="B90" s="222"/>
      <c r="C90" s="360" t="s">
        <v>756</v>
      </c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23"/>
    </row>
    <row r="91" spans="2:19">
      <c r="B91" s="222"/>
      <c r="C91" s="360" t="s">
        <v>757</v>
      </c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23"/>
    </row>
    <row r="92" spans="2:19">
      <c r="B92" s="220"/>
      <c r="C92" s="224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21"/>
    </row>
  </sheetData>
  <sheetProtection algorithmName="SHA-512" hashValue="v69RwOAcE8AOJlv73wNXlgVBlR2/urxy2bzZ3lBVj6zy+/HlyGGRUSSK276em//z7hCGA65dGa2klLlFEixThg==" saltValue="vzgxZJ2CeVzcVWTnfdebuQ==" spinCount="100000" sheet="1" objects="1" scenarios="1"/>
  <protectedRanges>
    <protectedRange sqref="E11:E13 E15 E17 E19:E20 F69:H72 E57:J58 I49:J50 D45:J46 F31 G29:G32 E29:F30 E32:F32 G34 L57:Q58 G73:H73 G67:H67 F33 E27:G28" name="Range1"/>
  </protectedRanges>
  <mergeCells count="1">
    <mergeCell ref="H28:X28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82" r:id="rId1" display="Office for National Statistics Population Estimates, England and Wales: mid-2022" xr:uid="{E5307553-7A6C-4E4A-A884-E27CF8AE4772}"/>
    <hyperlink ref="C83" r:id="rId2" xr:uid="{7973B0A5-0DDC-4D6E-A615-7910C6E2CF4A}"/>
    <hyperlink ref="C88" r:id="rId3" xr:uid="{EDC70E40-643A-4353-80EE-8CAA529E12F0}"/>
    <hyperlink ref="K50" r:id="rId4" xr:uid="{24D4D829-AC23-4EB0-8563-0121E3BA82BF}"/>
  </hyperlinks>
  <pageMargins left="0.7" right="0.7" top="0.75" bottom="0.75" header="0.3" footer="0.3"/>
  <pageSetup paperSize="9" scale="49" orientation="portrait" verticalDpi="300" r:id="rId5"/>
  <rowBreaks count="1" manualBreakCount="1">
    <brk id="54" max="12" man="1"/>
  </rowBreaks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F31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4F4E1452-821A-4050-8C2A-12CCFEDF5F2F}">
          <x14:formula1>
            <xm:f>payscales!$B$12:$B$47</xm:f>
          </x14:formula1>
          <xm:sqref>J70 J72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34"/>
  <sheetViews>
    <sheetView showGridLines="0" topLeftCell="A2" zoomScale="80" zoomScaleNormal="80" workbookViewId="0">
      <selection activeCell="C76" sqref="C76"/>
    </sheetView>
  </sheetViews>
  <sheetFormatPr defaultColWidth="9.26953125" defaultRowHeight="12.5"/>
  <cols>
    <col min="1" max="1" width="3.54296875" style="3" customWidth="1"/>
    <col min="2" max="2" width="30.26953125" style="3" customWidth="1"/>
    <col min="3" max="3" width="29.7265625" style="3" bestFit="1" customWidth="1"/>
    <col min="4" max="4" width="11.7265625" style="3" customWidth="1"/>
    <col min="5" max="5" width="11.453125" style="3" customWidth="1"/>
    <col min="6" max="6" width="10.7265625" style="3" customWidth="1"/>
    <col min="7" max="7" width="10.453125" style="3" bestFit="1" customWidth="1"/>
    <col min="8" max="8" width="12.54296875" style="3" customWidth="1"/>
    <col min="9" max="9" width="9.453125" style="3" customWidth="1"/>
    <col min="10" max="10" width="11.453125" style="3" customWidth="1"/>
    <col min="11" max="12" width="10.54296875" style="3" customWidth="1"/>
    <col min="13" max="13" width="12.54296875" style="3" customWidth="1"/>
    <col min="14" max="16" width="12.453125" style="3" customWidth="1"/>
    <col min="17" max="19" width="12.26953125" style="3" customWidth="1"/>
    <col min="20" max="20" width="3.453125" style="3" customWidth="1"/>
    <col min="21" max="21" width="9.453125" style="3" customWidth="1"/>
    <col min="22" max="16384" width="9.26953125" style="3"/>
  </cols>
  <sheetData>
    <row r="1" spans="1:23" ht="30" customHeight="1">
      <c r="A1" s="191"/>
      <c r="B1" s="432" t="str">
        <f>'Inputs and eligible population'!B1</f>
        <v>Vibegron for the symptoms of overactive bladder</v>
      </c>
      <c r="C1" s="147"/>
      <c r="D1" s="131"/>
      <c r="E1" s="131"/>
      <c r="F1" s="131"/>
      <c r="G1" s="131"/>
      <c r="H1" s="131"/>
      <c r="I1" s="131"/>
      <c r="J1" s="131" t="s">
        <v>758</v>
      </c>
      <c r="K1" s="131" t="s">
        <v>758</v>
      </c>
      <c r="L1" s="131" t="s">
        <v>758</v>
      </c>
      <c r="M1" s="131" t="s">
        <v>758</v>
      </c>
      <c r="N1" s="131" t="s">
        <v>758</v>
      </c>
      <c r="O1" s="131" t="s">
        <v>758</v>
      </c>
      <c r="P1" s="606"/>
      <c r="Q1" s="191"/>
      <c r="R1" s="191"/>
      <c r="S1" s="191"/>
      <c r="T1" s="191"/>
    </row>
    <row r="2" spans="1:23" ht="26.25" customHeight="1">
      <c r="A2" s="191"/>
      <c r="B2" s="145" t="s">
        <v>52</v>
      </c>
      <c r="C2" s="146" t="s">
        <v>758</v>
      </c>
      <c r="D2" s="131" t="s">
        <v>758</v>
      </c>
      <c r="E2" s="131" t="s">
        <v>758</v>
      </c>
      <c r="F2" s="131" t="s">
        <v>758</v>
      </c>
      <c r="G2" s="131" t="s">
        <v>758</v>
      </c>
      <c r="H2" s="131" t="s">
        <v>758</v>
      </c>
      <c r="I2" s="131" t="s">
        <v>758</v>
      </c>
      <c r="J2" s="131" t="s">
        <v>758</v>
      </c>
      <c r="K2" s="132" t="s">
        <v>758</v>
      </c>
      <c r="L2" s="131" t="s">
        <v>758</v>
      </c>
      <c r="M2" s="131" t="s">
        <v>758</v>
      </c>
      <c r="N2" s="131" t="s">
        <v>758</v>
      </c>
      <c r="O2" s="131" t="s">
        <v>758</v>
      </c>
      <c r="P2" s="607"/>
      <c r="Q2" s="191"/>
      <c r="R2" s="191"/>
      <c r="S2" s="191"/>
      <c r="T2" s="191"/>
    </row>
    <row r="3" spans="1:23" ht="14.65" customHeight="1">
      <c r="A3" s="191"/>
      <c r="B3" s="129"/>
      <c r="C3" s="147"/>
      <c r="D3" s="131"/>
      <c r="E3" s="131"/>
      <c r="F3" s="131"/>
      <c r="G3" s="131" t="s">
        <v>758</v>
      </c>
      <c r="H3" s="131" t="s">
        <v>758</v>
      </c>
      <c r="I3" s="131" t="s">
        <v>758</v>
      </c>
      <c r="J3" s="131" t="s">
        <v>758</v>
      </c>
      <c r="K3" s="132" t="s">
        <v>758</v>
      </c>
      <c r="L3" s="131" t="s">
        <v>758</v>
      </c>
      <c r="M3" s="131" t="s">
        <v>758</v>
      </c>
      <c r="N3" s="131" t="s">
        <v>758</v>
      </c>
      <c r="O3" s="131" t="s">
        <v>758</v>
      </c>
      <c r="P3" s="607"/>
      <c r="Q3" s="191"/>
      <c r="R3" s="191"/>
      <c r="S3" s="191"/>
      <c r="T3" s="191"/>
    </row>
    <row r="4" spans="1:23" ht="14.65" customHeight="1">
      <c r="A4" s="191"/>
      <c r="B4" t="s">
        <v>759</v>
      </c>
      <c r="C4" s="147"/>
      <c r="D4" s="131"/>
      <c r="E4" s="131"/>
      <c r="F4" s="131"/>
      <c r="G4" s="131" t="s">
        <v>758</v>
      </c>
      <c r="H4" s="131" t="s">
        <v>758</v>
      </c>
      <c r="I4" s="131" t="s">
        <v>758</v>
      </c>
      <c r="J4" s="131" t="s">
        <v>758</v>
      </c>
      <c r="K4" s="132" t="s">
        <v>758</v>
      </c>
      <c r="L4" s="131" t="s">
        <v>758</v>
      </c>
      <c r="M4" s="131" t="s">
        <v>758</v>
      </c>
      <c r="N4" s="131" t="s">
        <v>758</v>
      </c>
      <c r="O4" s="131" t="s">
        <v>758</v>
      </c>
      <c r="P4" s="607"/>
      <c r="Q4" s="132"/>
      <c r="R4" s="132"/>
      <c r="S4" s="132"/>
      <c r="T4" s="132"/>
    </row>
    <row r="5" spans="1:23" ht="14.65" customHeight="1">
      <c r="A5" s="191"/>
      <c r="B5" t="s">
        <v>669</v>
      </c>
      <c r="C5" s="147"/>
      <c r="D5" s="131"/>
      <c r="E5" s="131"/>
      <c r="F5" s="131"/>
      <c r="G5" s="131"/>
      <c r="H5" s="131" t="s">
        <v>758</v>
      </c>
      <c r="I5" s="131" t="s">
        <v>758</v>
      </c>
      <c r="J5" s="131" t="s">
        <v>758</v>
      </c>
      <c r="K5" s="132" t="s">
        <v>758</v>
      </c>
      <c r="L5" s="606"/>
      <c r="M5" s="607"/>
      <c r="N5" s="607"/>
      <c r="O5" s="607"/>
      <c r="P5" s="607"/>
      <c r="Q5" s="132"/>
      <c r="R5" s="132"/>
      <c r="S5" s="132"/>
      <c r="T5" s="132"/>
    </row>
    <row r="6" spans="1:23" ht="14.65" customHeight="1" thickBot="1">
      <c r="A6" s="191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  <c r="S6" s="132"/>
      <c r="T6" s="132"/>
    </row>
    <row r="7" spans="1:23" s="236" customFormat="1" ht="14.5">
      <c r="A7" s="238"/>
      <c r="B7" s="234" t="s">
        <v>760</v>
      </c>
      <c r="C7" s="238"/>
      <c r="D7" s="551" t="s">
        <v>761</v>
      </c>
      <c r="E7" s="552"/>
      <c r="F7" s="552"/>
      <c r="G7" s="552"/>
      <c r="H7" s="553"/>
      <c r="I7" s="551" t="s">
        <v>762</v>
      </c>
      <c r="J7" s="552"/>
      <c r="K7" s="552"/>
      <c r="L7" s="552"/>
      <c r="M7" s="552"/>
      <c r="N7" s="552"/>
      <c r="O7" s="552"/>
      <c r="P7" s="552"/>
      <c r="Q7" s="552"/>
      <c r="R7" s="552"/>
      <c r="S7" s="553"/>
      <c r="T7" s="238"/>
      <c r="W7" s="3"/>
    </row>
    <row r="8" spans="1:23" s="236" customFormat="1" ht="49.15" customHeight="1">
      <c r="A8" s="238"/>
      <c r="B8" s="237" t="s">
        <v>763</v>
      </c>
      <c r="C8" s="239" t="s">
        <v>764</v>
      </c>
      <c r="D8" s="554" t="s">
        <v>765</v>
      </c>
      <c r="E8" s="240" t="s">
        <v>766</v>
      </c>
      <c r="F8" s="240" t="s">
        <v>767</v>
      </c>
      <c r="G8" s="240" t="s">
        <v>768</v>
      </c>
      <c r="H8" s="605" t="s">
        <v>769</v>
      </c>
      <c r="I8" s="609" t="s">
        <v>770</v>
      </c>
      <c r="J8" s="610" t="s">
        <v>771</v>
      </c>
      <c r="K8" s="611" t="s">
        <v>772</v>
      </c>
      <c r="L8" s="611" t="s">
        <v>773</v>
      </c>
      <c r="M8" s="240" t="s">
        <v>774</v>
      </c>
      <c r="N8" s="240" t="s">
        <v>775</v>
      </c>
      <c r="O8" s="562" t="s">
        <v>776</v>
      </c>
      <c r="P8" s="562" t="s">
        <v>777</v>
      </c>
      <c r="Q8" s="239" t="s">
        <v>778</v>
      </c>
      <c r="R8" s="237" t="s">
        <v>779</v>
      </c>
      <c r="S8" s="555" t="s">
        <v>780</v>
      </c>
      <c r="T8" s="238"/>
      <c r="W8" s="3"/>
    </row>
    <row r="9" spans="1:23" s="236" customFormat="1" ht="14.5">
      <c r="A9" s="238"/>
      <c r="B9" s="529" t="s">
        <v>708</v>
      </c>
      <c r="C9" s="549" t="s">
        <v>708</v>
      </c>
      <c r="D9" s="556" t="s">
        <v>11</v>
      </c>
      <c r="E9" s="530" t="s">
        <v>761</v>
      </c>
      <c r="F9" s="604">
        <v>75</v>
      </c>
      <c r="G9" s="531">
        <v>30</v>
      </c>
      <c r="H9" s="608">
        <v>2250</v>
      </c>
      <c r="I9" s="567">
        <v>75</v>
      </c>
      <c r="J9" s="532" t="s">
        <v>781</v>
      </c>
      <c r="K9" s="532" t="s">
        <v>781</v>
      </c>
      <c r="L9" s="531">
        <f>I9</f>
        <v>75</v>
      </c>
      <c r="M9" s="529">
        <v>30</v>
      </c>
      <c r="N9" s="529">
        <f>'Inputs and eligible population'!F45</f>
        <v>12</v>
      </c>
      <c r="O9" s="531">
        <f>N9*M9*L9</f>
        <v>27000</v>
      </c>
      <c r="P9" s="612">
        <f>O9/H9</f>
        <v>12</v>
      </c>
      <c r="Q9" s="533">
        <f>'Inputs and eligible population'!I49</f>
        <v>26.68</v>
      </c>
      <c r="R9" s="534">
        <f>'Inputs and eligible population'!J49</f>
        <v>0</v>
      </c>
      <c r="S9" s="568">
        <f>P9*Q9*(100%+R9)</f>
        <v>320.15999999999997</v>
      </c>
      <c r="T9" s="238"/>
      <c r="W9" s="3"/>
    </row>
    <row r="10" spans="1:23" s="236" customFormat="1" ht="14.5">
      <c r="A10" s="238"/>
      <c r="B10" s="529"/>
      <c r="C10" s="549" t="s">
        <v>954</v>
      </c>
      <c r="D10" s="556"/>
      <c r="E10" s="530"/>
      <c r="F10" s="531"/>
      <c r="G10" s="531"/>
      <c r="H10" s="557"/>
      <c r="I10" s="567"/>
      <c r="J10" s="532"/>
      <c r="K10" s="532"/>
      <c r="L10" s="531"/>
      <c r="M10" s="529"/>
      <c r="N10" s="535"/>
      <c r="O10" s="531"/>
      <c r="P10" s="563"/>
      <c r="Q10" s="533"/>
      <c r="R10" s="534"/>
      <c r="S10" s="568"/>
      <c r="T10" s="238"/>
      <c r="W10" s="3"/>
    </row>
    <row r="11" spans="1:23" s="236" customFormat="1" ht="15" thickBot="1">
      <c r="A11" s="238"/>
      <c r="B11" s="529"/>
      <c r="C11" s="549" t="s">
        <v>954</v>
      </c>
      <c r="D11" s="558"/>
      <c r="E11" s="559"/>
      <c r="F11" s="560"/>
      <c r="G11" s="560"/>
      <c r="H11" s="561"/>
      <c r="I11" s="569"/>
      <c r="J11" s="570"/>
      <c r="K11" s="570"/>
      <c r="L11" s="560"/>
      <c r="M11" s="571"/>
      <c r="N11" s="572"/>
      <c r="O11" s="560"/>
      <c r="P11" s="573"/>
      <c r="Q11" s="574"/>
      <c r="R11" s="575"/>
      <c r="S11" s="576"/>
      <c r="T11" s="238"/>
      <c r="W11" s="3"/>
    </row>
    <row r="12" spans="1:23" s="236" customFormat="1" ht="14.5">
      <c r="A12" s="238"/>
      <c r="B12" s="547"/>
      <c r="C12" s="241" t="s">
        <v>782</v>
      </c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65"/>
      <c r="S12" s="566">
        <f>SUM(S9:S11)</f>
        <v>320.15999999999997</v>
      </c>
      <c r="T12" s="238"/>
      <c r="W12" s="3"/>
    </row>
    <row r="13" spans="1:23" s="236" customFormat="1" ht="15" thickBot="1">
      <c r="A13" s="238"/>
      <c r="B13" s="234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545"/>
      <c r="T13" s="238"/>
      <c r="W13" s="3"/>
    </row>
    <row r="14" spans="1:23" s="236" customFormat="1" ht="14.5">
      <c r="A14" s="238"/>
      <c r="B14" s="234"/>
      <c r="C14" s="238"/>
      <c r="D14" s="551" t="s">
        <v>761</v>
      </c>
      <c r="E14" s="552"/>
      <c r="F14" s="552"/>
      <c r="G14" s="552"/>
      <c r="H14" s="553"/>
      <c r="I14" s="551" t="s">
        <v>762</v>
      </c>
      <c r="J14" s="578"/>
      <c r="K14" s="578"/>
      <c r="L14" s="578"/>
      <c r="M14" s="578"/>
      <c r="N14" s="578"/>
      <c r="O14" s="578"/>
      <c r="P14" s="578"/>
      <c r="Q14" s="578"/>
      <c r="R14" s="578"/>
      <c r="S14" s="579"/>
      <c r="T14" s="238"/>
      <c r="W14" s="3"/>
    </row>
    <row r="15" spans="1:23" s="236" customFormat="1" ht="14.5">
      <c r="A15" s="238"/>
      <c r="B15" s="529" t="s">
        <v>709</v>
      </c>
      <c r="C15" s="549" t="s">
        <v>709</v>
      </c>
      <c r="D15" s="556" t="s">
        <v>11</v>
      </c>
      <c r="E15" s="530" t="s">
        <v>761</v>
      </c>
      <c r="F15" s="604">
        <v>50</v>
      </c>
      <c r="G15" s="531">
        <v>30</v>
      </c>
      <c r="H15" s="608">
        <v>1500</v>
      </c>
      <c r="I15" s="567">
        <v>50</v>
      </c>
      <c r="J15" s="532" t="s">
        <v>781</v>
      </c>
      <c r="K15" s="532" t="s">
        <v>781</v>
      </c>
      <c r="L15" s="531">
        <f>I15</f>
        <v>50</v>
      </c>
      <c r="M15" s="529">
        <v>30</v>
      </c>
      <c r="N15" s="536">
        <f>'Inputs and eligible population'!F46</f>
        <v>12</v>
      </c>
      <c r="O15" s="531">
        <f>N15*M15*L15</f>
        <v>18000</v>
      </c>
      <c r="P15" s="612">
        <f>O15/H15</f>
        <v>12</v>
      </c>
      <c r="Q15" s="533">
        <f>'Inputs and eligible population'!I50</f>
        <v>29</v>
      </c>
      <c r="R15" s="534">
        <f>'Inputs and eligible population'!J50</f>
        <v>0</v>
      </c>
      <c r="S15" s="568">
        <f>P15*Q15*(100%+R15)</f>
        <v>348</v>
      </c>
      <c r="T15" s="238"/>
      <c r="W15" s="3"/>
    </row>
    <row r="16" spans="1:23" s="236" customFormat="1" ht="14.5">
      <c r="A16" s="238"/>
      <c r="B16" s="529"/>
      <c r="C16" s="549" t="s">
        <v>954</v>
      </c>
      <c r="D16" s="556"/>
      <c r="E16" s="530"/>
      <c r="F16" s="531"/>
      <c r="G16" s="531"/>
      <c r="H16" s="557"/>
      <c r="I16" s="567"/>
      <c r="J16" s="532"/>
      <c r="K16" s="532"/>
      <c r="L16" s="531"/>
      <c r="M16" s="529"/>
      <c r="N16" s="536"/>
      <c r="O16" s="531"/>
      <c r="P16" s="564"/>
      <c r="Q16" s="533"/>
      <c r="R16" s="534"/>
      <c r="S16" s="568"/>
      <c r="T16" s="238"/>
      <c r="W16" s="3"/>
    </row>
    <row r="17" spans="1:23" s="236" customFormat="1" ht="15" thickBot="1">
      <c r="A17" s="238"/>
      <c r="B17" s="529"/>
      <c r="C17" s="549" t="s">
        <v>954</v>
      </c>
      <c r="D17" s="558"/>
      <c r="E17" s="559"/>
      <c r="F17" s="560"/>
      <c r="G17" s="560"/>
      <c r="H17" s="561"/>
      <c r="I17" s="569"/>
      <c r="J17" s="570"/>
      <c r="K17" s="570"/>
      <c r="L17" s="560"/>
      <c r="M17" s="571"/>
      <c r="N17" s="580"/>
      <c r="O17" s="560"/>
      <c r="P17" s="581"/>
      <c r="Q17" s="574"/>
      <c r="R17" s="575"/>
      <c r="S17" s="576"/>
      <c r="T17" s="238"/>
      <c r="W17" s="3"/>
    </row>
    <row r="18" spans="1:23" s="236" customFormat="1" ht="14.5">
      <c r="A18" s="238"/>
      <c r="B18" s="547"/>
      <c r="C18" s="241" t="s">
        <v>782</v>
      </c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77"/>
      <c r="O18" s="577"/>
      <c r="P18" s="577"/>
      <c r="Q18" s="550"/>
      <c r="R18" s="565"/>
      <c r="S18" s="566">
        <f>SUM(S15:S17)</f>
        <v>348</v>
      </c>
      <c r="T18" s="238"/>
      <c r="W18" s="3"/>
    </row>
    <row r="19" spans="1:23" s="236" customFormat="1" ht="14.5">
      <c r="A19" s="238"/>
      <c r="B19" s="234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513"/>
      <c r="O19" s="513"/>
      <c r="P19" s="178"/>
      <c r="Q19" s="178"/>
      <c r="R19" s="179"/>
      <c r="S19" s="545"/>
      <c r="T19" s="238"/>
      <c r="W19" s="3"/>
    </row>
    <row r="20" spans="1:23" s="236" customFormat="1" ht="14.5">
      <c r="A20" s="238"/>
      <c r="B20" s="238" t="s">
        <v>783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W20" s="3"/>
    </row>
    <row r="21" spans="1:23" s="236" customFormat="1" ht="14.5">
      <c r="A21" s="238"/>
      <c r="B21" s="238" t="s">
        <v>784</v>
      </c>
      <c r="C21" s="238"/>
      <c r="D21" s="238"/>
      <c r="E21" s="238"/>
      <c r="F21" s="238"/>
      <c r="G21" s="447" t="s">
        <v>785</v>
      </c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W21" s="3"/>
    </row>
    <row r="22" spans="1:23" s="236" customFormat="1" ht="14.5">
      <c r="A22" s="238"/>
      <c r="B22" s="238" t="s">
        <v>786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W22" s="3"/>
    </row>
    <row r="23" spans="1:23" s="4" customFormat="1" ht="14.5">
      <c r="A23" s="5"/>
      <c r="B23" s="193" t="s">
        <v>955</v>
      </c>
      <c r="C23" s="5"/>
      <c r="D23" s="176"/>
      <c r="E23" s="112"/>
      <c r="F23" s="177"/>
      <c r="G23" s="178"/>
      <c r="H23" s="5"/>
      <c r="I23" s="5"/>
      <c r="J23" s="179"/>
      <c r="K23" s="178"/>
      <c r="L23" s="178"/>
      <c r="M23" s="178"/>
      <c r="N23" s="178"/>
      <c r="O23" s="178"/>
      <c r="P23" s="178"/>
      <c r="Q23" s="178"/>
      <c r="R23" s="178"/>
      <c r="S23" s="238"/>
      <c r="T23" s="5"/>
      <c r="W23" s="3"/>
    </row>
    <row r="24" spans="1:23" s="4" customFormat="1" ht="14.5">
      <c r="A24" s="5"/>
      <c r="B24" s="192"/>
      <c r="C24" s="176"/>
      <c r="D24" s="176"/>
      <c r="E24" s="112"/>
      <c r="F24" s="177"/>
      <c r="G24" s="178"/>
      <c r="H24" s="5"/>
      <c r="I24" s="5"/>
      <c r="J24" s="179"/>
      <c r="K24" s="178"/>
      <c r="L24" s="178"/>
      <c r="M24" s="178"/>
      <c r="N24" s="178"/>
      <c r="O24" s="178"/>
      <c r="P24" s="614" t="s">
        <v>787</v>
      </c>
      <c r="Q24" s="614" t="s">
        <v>788</v>
      </c>
      <c r="R24" s="614" t="s">
        <v>789</v>
      </c>
      <c r="S24" s="238"/>
      <c r="T24" s="5"/>
      <c r="W24" s="3"/>
    </row>
    <row r="25" spans="1:23" s="4" customFormat="1" ht="14.5">
      <c r="A25" s="5"/>
      <c r="B25" s="351" t="s">
        <v>790</v>
      </c>
      <c r="C25" s="176"/>
      <c r="D25" s="176"/>
      <c r="E25" s="112"/>
      <c r="F25" s="177"/>
      <c r="G25" s="178"/>
      <c r="H25" s="5"/>
      <c r="I25" s="5"/>
      <c r="J25" s="179"/>
      <c r="K25" s="178"/>
      <c r="L25" s="178"/>
      <c r="M25" s="178"/>
      <c r="N25" s="178"/>
      <c r="O25" s="178"/>
      <c r="P25" s="369" t="s">
        <v>791</v>
      </c>
      <c r="Q25" s="369" t="s">
        <v>792</v>
      </c>
      <c r="R25" s="369" t="s">
        <v>793</v>
      </c>
      <c r="S25" s="238"/>
      <c r="T25" s="5"/>
      <c r="W25" s="3"/>
    </row>
    <row r="26" spans="1:23" s="4" customFormat="1" ht="14.5">
      <c r="A26" s="5"/>
      <c r="B26" s="237" t="s">
        <v>794</v>
      </c>
      <c r="C26" s="239" t="s">
        <v>795</v>
      </c>
      <c r="D26" s="242" t="s">
        <v>796</v>
      </c>
      <c r="E26" s="347"/>
      <c r="F26" s="348"/>
      <c r="G26" s="349"/>
      <c r="H26" s="350"/>
      <c r="I26" s="349"/>
      <c r="J26" s="350"/>
      <c r="K26" s="349"/>
      <c r="L26" s="350"/>
      <c r="M26" s="349"/>
      <c r="N26" s="352" t="s">
        <v>797</v>
      </c>
      <c r="O26" s="178"/>
      <c r="P26" s="369" t="s">
        <v>798</v>
      </c>
      <c r="Q26" s="369" t="s">
        <v>799</v>
      </c>
      <c r="R26" s="369" t="s">
        <v>800</v>
      </c>
      <c r="S26" s="238"/>
      <c r="T26" s="5"/>
      <c r="W26" s="3"/>
    </row>
    <row r="27" spans="1:23" s="4" customFormat="1" ht="14.5">
      <c r="A27" s="5"/>
      <c r="B27" s="529" t="s">
        <v>801</v>
      </c>
      <c r="C27" s="543" t="s">
        <v>802</v>
      </c>
      <c r="D27" s="537" t="s">
        <v>803</v>
      </c>
      <c r="E27" s="544"/>
      <c r="F27" s="538"/>
      <c r="G27" s="539"/>
      <c r="H27" s="540"/>
      <c r="I27" s="540"/>
      <c r="J27" s="540"/>
      <c r="K27" s="540"/>
      <c r="L27" s="539"/>
      <c r="M27" s="541"/>
      <c r="N27" s="542">
        <v>155</v>
      </c>
      <c r="O27" s="178"/>
      <c r="P27" s="369" t="s">
        <v>804</v>
      </c>
      <c r="Q27" s="369" t="s">
        <v>805</v>
      </c>
      <c r="R27" s="369" t="s">
        <v>806</v>
      </c>
      <c r="S27" s="238"/>
      <c r="T27" s="5"/>
      <c r="W27" s="3"/>
    </row>
    <row r="28" spans="1:23" s="4" customFormat="1" ht="14.5">
      <c r="A28" s="5"/>
      <c r="B28" s="529" t="s">
        <v>807</v>
      </c>
      <c r="C28" s="543" t="s">
        <v>808</v>
      </c>
      <c r="D28" s="537" t="s">
        <v>809</v>
      </c>
      <c r="E28" s="544"/>
      <c r="F28" s="538"/>
      <c r="G28" s="539"/>
      <c r="H28" s="540"/>
      <c r="I28" s="540"/>
      <c r="J28" s="540"/>
      <c r="K28" s="540"/>
      <c r="L28" s="539"/>
      <c r="M28" s="541"/>
      <c r="N28" s="542">
        <v>76</v>
      </c>
      <c r="O28" s="178"/>
      <c r="P28" s="369" t="s">
        <v>810</v>
      </c>
      <c r="Q28" s="369" t="s">
        <v>811</v>
      </c>
      <c r="R28" s="369" t="s">
        <v>812</v>
      </c>
      <c r="S28" s="238"/>
      <c r="T28" s="5"/>
      <c r="W28" s="3"/>
    </row>
    <row r="29" spans="1:23" s="4" customFormat="1" ht="14.5">
      <c r="A29" s="5"/>
      <c r="B29" s="584" t="s">
        <v>813</v>
      </c>
      <c r="C29" s="5"/>
      <c r="D29" s="176"/>
      <c r="E29" s="112"/>
      <c r="F29" s="177"/>
      <c r="G29" s="178"/>
      <c r="H29" s="5"/>
      <c r="I29" s="5"/>
      <c r="J29" s="179"/>
      <c r="K29" s="178"/>
      <c r="L29" s="178"/>
      <c r="M29" s="178"/>
      <c r="N29" s="178"/>
      <c r="O29" s="178"/>
      <c r="P29" s="615" t="s">
        <v>814</v>
      </c>
      <c r="Q29" s="615" t="s">
        <v>815</v>
      </c>
      <c r="R29" s="369" t="s">
        <v>816</v>
      </c>
      <c r="S29" s="238"/>
      <c r="T29" s="5"/>
      <c r="W29" s="3"/>
    </row>
    <row r="30" spans="1:23" s="4" customFormat="1" ht="14.5">
      <c r="A30" s="5"/>
      <c r="B30" s="192"/>
      <c r="C30" s="5"/>
      <c r="D30" s="176"/>
      <c r="E30" s="112"/>
      <c r="F30" s="177"/>
      <c r="G30" s="178"/>
      <c r="H30" s="5"/>
      <c r="I30" s="5"/>
      <c r="J30" s="179"/>
      <c r="K30" s="178"/>
      <c r="L30" s="178"/>
      <c r="M30" s="178"/>
      <c r="N30" s="178"/>
      <c r="O30" s="178"/>
      <c r="P30" s="178"/>
      <c r="Q30" s="178"/>
      <c r="R30" s="369" t="s">
        <v>817</v>
      </c>
      <c r="S30" s="238"/>
      <c r="T30" s="5"/>
      <c r="W30" s="3"/>
    </row>
    <row r="31" spans="1:23" s="4" customFormat="1" ht="14.5">
      <c r="A31" s="5"/>
      <c r="B31" s="192"/>
      <c r="C31" s="5"/>
      <c r="D31" s="176"/>
      <c r="E31" s="112"/>
      <c r="F31" s="177"/>
      <c r="G31" s="178"/>
      <c r="H31" s="5"/>
      <c r="I31" s="5"/>
      <c r="J31" s="179"/>
      <c r="K31" s="178"/>
      <c r="L31" s="178"/>
      <c r="M31" s="178"/>
      <c r="N31" s="178"/>
      <c r="O31" s="178"/>
      <c r="P31" s="178"/>
      <c r="Q31" s="178"/>
      <c r="R31" s="369" t="s">
        <v>810</v>
      </c>
      <c r="S31" s="238"/>
      <c r="T31" s="5"/>
      <c r="W31" s="3"/>
    </row>
    <row r="32" spans="1:23" s="4" customFormat="1" ht="14.5">
      <c r="A32" s="5"/>
      <c r="B32" s="192"/>
      <c r="C32" s="5"/>
      <c r="D32" s="176"/>
      <c r="E32" s="112"/>
      <c r="F32" s="177"/>
      <c r="G32" s="178"/>
      <c r="H32" s="5"/>
      <c r="I32" s="5"/>
      <c r="J32" s="179"/>
      <c r="K32" s="178"/>
      <c r="L32" s="178"/>
      <c r="M32" s="178"/>
      <c r="N32" s="178"/>
      <c r="O32" s="178"/>
      <c r="P32" s="178"/>
      <c r="Q32" s="178"/>
      <c r="R32" s="369" t="s">
        <v>818</v>
      </c>
      <c r="S32" s="238"/>
      <c r="T32" s="5"/>
      <c r="W32" s="3"/>
    </row>
    <row r="33" spans="1:23" s="4" customFormat="1" ht="14.5">
      <c r="A33" s="5"/>
      <c r="B33" s="192"/>
      <c r="C33" s="5"/>
      <c r="D33" s="176"/>
      <c r="E33" s="112"/>
      <c r="F33" s="177"/>
      <c r="G33" s="178"/>
      <c r="H33" s="5"/>
      <c r="I33" s="5"/>
      <c r="J33" s="179"/>
      <c r="K33" s="178"/>
      <c r="L33" s="178"/>
      <c r="M33" s="178"/>
      <c r="N33" s="178"/>
      <c r="O33" s="178"/>
      <c r="P33" s="178"/>
      <c r="Q33" s="178"/>
      <c r="R33" s="615" t="s">
        <v>819</v>
      </c>
      <c r="S33" s="238"/>
      <c r="T33" s="5"/>
      <c r="W33" s="3"/>
    </row>
    <row r="34" spans="1:23" s="4" customFormat="1" ht="14.5">
      <c r="A34" s="5"/>
      <c r="B34" s="192"/>
      <c r="C34" s="5"/>
      <c r="D34" s="176"/>
      <c r="E34" s="112"/>
      <c r="F34" s="177"/>
      <c r="G34" s="178"/>
      <c r="H34" s="5"/>
      <c r="I34" s="5"/>
      <c r="J34" s="179"/>
      <c r="K34" s="178"/>
      <c r="L34" s="178"/>
      <c r="M34" s="178"/>
      <c r="N34" s="178"/>
      <c r="O34" s="178"/>
      <c r="P34" s="178"/>
      <c r="Q34" s="178"/>
      <c r="R34" s="179"/>
      <c r="S34" s="238"/>
      <c r="T34" s="5"/>
      <c r="W34" s="3"/>
    </row>
  </sheetData>
  <sheetProtection algorithmName="SHA-512" hashValue="HdtNeTyRBfAsTSR4F/ebS+kOk4LivHoIfU92BYKyhU7FOAd1SVh0kKnUmXYsZJVE71hAIlzRcoxv3Hbq6dCiIw==" saltValue="RbPWw+LcDqnD7qYYbKuMOQ==" spinCount="100000" sheet="1" objects="1" scenarios="1"/>
  <hyperlinks>
    <hyperlink ref="B29" r:id="rId1" location="National-Tariff-Payment-System" xr:uid="{F3BC5873-6E66-475B-821A-EF39B8D5033A}"/>
    <hyperlink ref="G21" r:id="rId2" xr:uid="{CDD145FB-EFD6-4399-B1FB-2180A2C574B3}"/>
  </hyperlinks>
  <pageMargins left="0.70866141732283472" right="0.70866141732283472" top="0.74803149606299213" bottom="0.74803149606299213" header="0.31496062992125984" footer="0.31496062992125984"/>
  <pageSetup paperSize="9" scale="35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50"/>
  <sheetViews>
    <sheetView showGridLines="0" zoomScale="80" zoomScaleNormal="80" zoomScaleSheetLayoutView="80" workbookViewId="0">
      <selection activeCell="J24" sqref="J24"/>
    </sheetView>
  </sheetViews>
  <sheetFormatPr defaultColWidth="8.7265625" defaultRowHeight="14.5"/>
  <cols>
    <col min="1" max="1" width="3.54296875" customWidth="1"/>
    <col min="2" max="2" width="53.7265625" style="1" customWidth="1"/>
    <col min="3" max="3" width="11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30" customHeight="1">
      <c r="B1" s="431" t="str">
        <f>'Inputs and eligible population'!B1</f>
        <v>Vibegron for the symptoms of overactive bladder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>
      <c r="B2" s="323" t="s">
        <v>26</v>
      </c>
      <c r="C2" s="141"/>
      <c r="E2" s="127" t="s">
        <v>758</v>
      </c>
      <c r="F2" s="127" t="s">
        <v>758</v>
      </c>
      <c r="G2" s="127" t="s">
        <v>758</v>
      </c>
      <c r="H2" s="127" t="s">
        <v>758</v>
      </c>
      <c r="I2" s="127" t="s">
        <v>758</v>
      </c>
      <c r="J2" s="141"/>
    </row>
    <row r="3" spans="2:10">
      <c r="B3" s="130" t="s">
        <v>758</v>
      </c>
      <c r="C3" s="130"/>
      <c r="D3" s="133" t="s">
        <v>758</v>
      </c>
      <c r="E3" s="133" t="s">
        <v>758</v>
      </c>
      <c r="F3" s="133" t="s">
        <v>758</v>
      </c>
      <c r="G3" s="133" t="s">
        <v>758</v>
      </c>
      <c r="H3" s="133" t="s">
        <v>758</v>
      </c>
      <c r="I3" s="133" t="s">
        <v>758</v>
      </c>
      <c r="J3" s="141"/>
    </row>
    <row r="4" spans="2:10" ht="43.5">
      <c r="B4" s="249" t="s">
        <v>820</v>
      </c>
      <c r="C4" s="229" t="s">
        <v>821</v>
      </c>
      <c r="D4" s="260" t="s">
        <v>691</v>
      </c>
      <c r="E4" s="260" t="s">
        <v>692</v>
      </c>
      <c r="F4" s="261" t="s">
        <v>822</v>
      </c>
      <c r="G4" s="261" t="s">
        <v>823</v>
      </c>
      <c r="H4" s="260" t="s">
        <v>824</v>
      </c>
      <c r="J4" s="141"/>
    </row>
    <row r="5" spans="2:10" s="148" customFormat="1">
      <c r="B5" s="166" t="s">
        <v>825</v>
      </c>
      <c r="C5" s="128">
        <f>'Inputs and eligible population'!F39</f>
        <v>267859</v>
      </c>
      <c r="D5" s="128">
        <f>'Inputs and eligible population'!G39</f>
        <v>270441.6449054805</v>
      </c>
      <c r="E5" s="128">
        <f>'Inputs and eligible population'!H39</f>
        <v>273049.19117588742</v>
      </c>
      <c r="F5" s="128">
        <f>'Inputs and eligible population'!I39</f>
        <v>275681.87890538684</v>
      </c>
      <c r="G5" s="128">
        <f>'Inputs and eligible population'!J39</f>
        <v>278339.95050308673</v>
      </c>
      <c r="H5" s="128">
        <f>'Inputs and eligible population'!K39</f>
        <v>281023.65071535693</v>
      </c>
      <c r="I5"/>
      <c r="J5" s="141"/>
    </row>
    <row r="6" spans="2:10">
      <c r="B6" s="251" t="s">
        <v>708</v>
      </c>
      <c r="C6" s="414">
        <f>'Inputs and eligible population'!E57</f>
        <v>0</v>
      </c>
      <c r="D6" s="414">
        <f>'Inputs and eligible population'!F57</f>
        <v>0.05</v>
      </c>
      <c r="E6" s="618">
        <f>'Inputs and eligible population'!G57</f>
        <v>7.4999999999999997E-2</v>
      </c>
      <c r="F6" s="414">
        <f>'Inputs and eligible population'!H57</f>
        <v>0.1</v>
      </c>
      <c r="G6" s="618">
        <f>'Inputs and eligible population'!I57</f>
        <v>0.125</v>
      </c>
      <c r="H6" s="414">
        <f>'Inputs and eligible population'!J57</f>
        <v>0.15</v>
      </c>
      <c r="J6" s="141"/>
    </row>
    <row r="7" spans="2:10">
      <c r="B7" s="166" t="s">
        <v>826</v>
      </c>
      <c r="C7" s="128">
        <f>'Financial impact (cash)'!D13</f>
        <v>0</v>
      </c>
      <c r="D7" s="128">
        <f>'Financial impact (cash)'!E13</f>
        <v>13522.082245274025</v>
      </c>
      <c r="E7" s="128">
        <f>'Financial impact (cash)'!F13</f>
        <v>20478.689338191554</v>
      </c>
      <c r="F7" s="128">
        <f>'Financial impact (cash)'!G13</f>
        <v>27568.187890538684</v>
      </c>
      <c r="G7" s="128">
        <f>'Financial impact (cash)'!H13</f>
        <v>34792.493812885841</v>
      </c>
      <c r="H7" s="128">
        <f>'Financial impact (cash)'!I13</f>
        <v>42153.547607303539</v>
      </c>
      <c r="J7" s="133"/>
    </row>
    <row r="8" spans="2:10" ht="14.65" customHeight="1">
      <c r="B8" s="235"/>
      <c r="C8" s="235"/>
      <c r="D8" s="133"/>
      <c r="E8" s="133"/>
      <c r="F8" s="133"/>
      <c r="G8" s="133"/>
      <c r="H8" s="133"/>
      <c r="J8" s="133"/>
    </row>
    <row r="9" spans="2:10" ht="43.5">
      <c r="B9" s="255" t="s">
        <v>827</v>
      </c>
      <c r="C9" s="229" t="s">
        <v>821</v>
      </c>
      <c r="D9" s="260" t="s">
        <v>691</v>
      </c>
      <c r="E9" s="260" t="s">
        <v>692</v>
      </c>
      <c r="F9" s="261" t="s">
        <v>822</v>
      </c>
      <c r="G9" s="261" t="s">
        <v>823</v>
      </c>
      <c r="H9" s="260" t="s">
        <v>824</v>
      </c>
      <c r="J9" s="133"/>
    </row>
    <row r="10" spans="2:10">
      <c r="B10" s="293" t="s">
        <v>708</v>
      </c>
      <c r="C10" s="128">
        <f>'Inputs and eligible population'!E57*C5</f>
        <v>0</v>
      </c>
      <c r="D10" s="128">
        <f>D5*'Inputs and eligible population'!F57</f>
        <v>13522.082245274025</v>
      </c>
      <c r="E10" s="128">
        <f>E5*'Inputs and eligible population'!G57</f>
        <v>20478.689338191554</v>
      </c>
      <c r="F10" s="128">
        <f>F5*'Inputs and eligible population'!H57</f>
        <v>27568.187890538684</v>
      </c>
      <c r="G10" s="128">
        <f>G5*'Inputs and eligible population'!I57</f>
        <v>34792.493812885841</v>
      </c>
      <c r="H10" s="128">
        <f>H5*'Inputs and eligible population'!J57</f>
        <v>42153.547607303539</v>
      </c>
      <c r="J10" s="133"/>
    </row>
    <row r="11" spans="2:10">
      <c r="B11" s="293" t="s">
        <v>709</v>
      </c>
      <c r="C11" s="128">
        <f>'Inputs and eligible population'!E58*C5</f>
        <v>267859</v>
      </c>
      <c r="D11" s="128">
        <f>D5*'Inputs and eligible population'!F58</f>
        <v>256919.56266020646</v>
      </c>
      <c r="E11" s="128">
        <f>E5*'Inputs and eligible population'!G58</f>
        <v>252570.50183769586</v>
      </c>
      <c r="F11" s="128">
        <f>F5*'Inputs and eligible population'!H58</f>
        <v>248113.69101484815</v>
      </c>
      <c r="G11" s="128">
        <f>G5*'Inputs and eligible population'!I58</f>
        <v>243547.4566902009</v>
      </c>
      <c r="H11" s="128">
        <f>H5*'Inputs and eligible population'!J58</f>
        <v>238870.10310805339</v>
      </c>
      <c r="J11" s="133"/>
    </row>
    <row r="12" spans="2:10">
      <c r="B12" s="256"/>
      <c r="C12" s="180">
        <f t="shared" ref="C12:H12" si="0">SUM(C10:C11)</f>
        <v>267859</v>
      </c>
      <c r="D12" s="180">
        <f t="shared" si="0"/>
        <v>270441.6449054805</v>
      </c>
      <c r="E12" s="180">
        <f t="shared" si="0"/>
        <v>273049.19117588742</v>
      </c>
      <c r="F12" s="180">
        <f t="shared" si="0"/>
        <v>275681.87890538684</v>
      </c>
      <c r="G12" s="180">
        <f t="shared" si="0"/>
        <v>278339.95050308673</v>
      </c>
      <c r="H12" s="180">
        <f t="shared" si="0"/>
        <v>281023.65071535693</v>
      </c>
      <c r="J12" s="133"/>
    </row>
    <row r="13" spans="2:10" ht="15" thickBot="1">
      <c r="B13" s="392"/>
      <c r="C13" s="392"/>
      <c r="D13" s="393"/>
      <c r="E13" s="393"/>
      <c r="F13" s="393"/>
      <c r="G13" s="393"/>
      <c r="H13" s="393"/>
      <c r="I13" s="394"/>
      <c r="J13" s="133"/>
    </row>
    <row r="14" spans="2:10">
      <c r="B14" s="258"/>
      <c r="C14" s="258"/>
      <c r="D14" s="284"/>
      <c r="E14" s="284"/>
      <c r="F14" s="284"/>
      <c r="G14" s="284"/>
      <c r="H14" s="284"/>
      <c r="I14" s="133"/>
      <c r="J14" s="133"/>
    </row>
    <row r="15" spans="2:10" ht="43.5">
      <c r="B15" s="252" t="s">
        <v>828</v>
      </c>
      <c r="C15" s="229" t="s">
        <v>821</v>
      </c>
      <c r="D15" s="260" t="s">
        <v>691</v>
      </c>
      <c r="E15" s="260" t="s">
        <v>692</v>
      </c>
      <c r="F15" s="261" t="s">
        <v>822</v>
      </c>
      <c r="G15" s="261" t="s">
        <v>823</v>
      </c>
      <c r="H15" s="260" t="s">
        <v>824</v>
      </c>
      <c r="I15" s="133"/>
      <c r="J15" s="133"/>
    </row>
    <row r="16" spans="2:10">
      <c r="B16" s="278" t="s">
        <v>829</v>
      </c>
      <c r="C16" s="589" t="s">
        <v>830</v>
      </c>
      <c r="D16" s="589" t="s">
        <v>830</v>
      </c>
      <c r="E16" s="589" t="s">
        <v>830</v>
      </c>
      <c r="F16" s="589" t="s">
        <v>830</v>
      </c>
      <c r="G16" s="589" t="s">
        <v>830</v>
      </c>
      <c r="H16" s="589" t="s">
        <v>830</v>
      </c>
      <c r="I16" s="133"/>
      <c r="J16" s="133"/>
    </row>
    <row r="17" spans="1:10">
      <c r="B17" s="257" t="s">
        <v>831</v>
      </c>
      <c r="C17" s="244">
        <f>'Financial impact (cash)'!D20</f>
        <v>93214.932000000001</v>
      </c>
      <c r="D17" s="244">
        <f>'Financial impact (cash)'!E20</f>
        <v>93737.237657398771</v>
      </c>
      <c r="E17" s="244">
        <f>'Financial impact (cash)'!F20</f>
        <v>94450.991818033566</v>
      </c>
      <c r="F17" s="244">
        <f>'Financial impact (cash)'!G20</f>
        <v>95169.79550820202</v>
      </c>
      <c r="G17" s="244">
        <f>'Financial impact (cash)'!H20</f>
        <v>95893.679747323447</v>
      </c>
      <c r="H17" s="244">
        <f>'Financial impact (cash)'!I20</f>
        <v>96622.675683556881</v>
      </c>
      <c r="I17" s="133"/>
      <c r="J17" s="133"/>
    </row>
    <row r="18" spans="1:10">
      <c r="C18" s="78"/>
      <c r="D18" s="194">
        <f>D17-$C$17</f>
        <v>522.30565739877056</v>
      </c>
      <c r="E18" s="194">
        <f>E17-$C$17</f>
        <v>1236.0598180335655</v>
      </c>
      <c r="F18" s="194">
        <f>F17-$C$17</f>
        <v>1954.8635082020191</v>
      </c>
      <c r="G18" s="194">
        <f>G17-$C$17</f>
        <v>2678.7477473234467</v>
      </c>
      <c r="H18" s="194">
        <f>H17-$C$17</f>
        <v>3407.7436835568806</v>
      </c>
      <c r="I18" s="353" t="s">
        <v>832</v>
      </c>
      <c r="J18" s="133"/>
    </row>
    <row r="19" spans="1:10">
      <c r="C19" s="88"/>
      <c r="D19" s="194">
        <f>D17-C17</f>
        <v>522.30565739877056</v>
      </c>
      <c r="E19" s="194">
        <f>E17-D17</f>
        <v>713.75416063479497</v>
      </c>
      <c r="F19" s="194">
        <f>F17-E17</f>
        <v>718.80369016845361</v>
      </c>
      <c r="G19" s="194">
        <f>G17-F17</f>
        <v>723.88423912142753</v>
      </c>
      <c r="H19" s="194">
        <f>H17-G17</f>
        <v>728.99593623343389</v>
      </c>
      <c r="I19" s="353" t="s">
        <v>833</v>
      </c>
      <c r="J19" s="133"/>
    </row>
    <row r="20" spans="1:10">
      <c r="B20" s="258"/>
      <c r="C20" s="258"/>
      <c r="D20" s="334"/>
      <c r="E20" s="334"/>
      <c r="F20" s="334"/>
      <c r="G20" s="334"/>
      <c r="H20" s="334"/>
      <c r="J20" s="133"/>
    </row>
    <row r="21" spans="1:10">
      <c r="B21" t="s">
        <v>834</v>
      </c>
      <c r="C21" s="258"/>
      <c r="D21" s="334"/>
      <c r="E21" s="334"/>
      <c r="F21" s="334"/>
      <c r="G21" s="334"/>
      <c r="H21" s="334"/>
      <c r="J21" s="133"/>
    </row>
    <row r="22" spans="1:10">
      <c r="B22" s="512" t="s">
        <v>60</v>
      </c>
      <c r="C22" s="258"/>
      <c r="D22" s="334"/>
      <c r="E22" s="334"/>
      <c r="F22" s="334"/>
      <c r="G22" s="334"/>
      <c r="H22" s="334"/>
      <c r="J22" s="133"/>
    </row>
    <row r="23" spans="1:10">
      <c r="B23" s="258"/>
      <c r="C23" s="258"/>
      <c r="D23" s="334"/>
      <c r="E23" s="334"/>
      <c r="F23" s="334"/>
      <c r="G23" s="334"/>
      <c r="H23" s="334"/>
      <c r="J23" s="133"/>
    </row>
    <row r="24" spans="1:10" ht="43.5">
      <c r="A24" s="334"/>
      <c r="B24" s="252" t="s">
        <v>835</v>
      </c>
      <c r="C24" s="229" t="s">
        <v>821</v>
      </c>
      <c r="D24" s="260" t="s">
        <v>691</v>
      </c>
      <c r="E24" s="260" t="s">
        <v>692</v>
      </c>
      <c r="F24" s="261" t="s">
        <v>822</v>
      </c>
      <c r="G24" s="261" t="s">
        <v>823</v>
      </c>
      <c r="H24" s="260" t="s">
        <v>824</v>
      </c>
      <c r="J24" s="133"/>
    </row>
    <row r="25" spans="1:10">
      <c r="A25" s="334"/>
      <c r="B25" s="278" t="s">
        <v>836</v>
      </c>
      <c r="C25" s="589" t="s">
        <v>830</v>
      </c>
      <c r="D25" s="589" t="s">
        <v>830</v>
      </c>
      <c r="E25" s="589" t="s">
        <v>830</v>
      </c>
      <c r="F25" s="589" t="s">
        <v>830</v>
      </c>
      <c r="G25" s="589" t="s">
        <v>830</v>
      </c>
      <c r="H25" s="589" t="s">
        <v>830</v>
      </c>
      <c r="J25" s="133"/>
    </row>
    <row r="26" spans="1:10">
      <c r="A26" s="334"/>
      <c r="B26" s="257" t="s">
        <v>837</v>
      </c>
      <c r="C26" s="244">
        <f>IF($B$22="national prices",'Capacity (national prices)'!L12,IF($B$22="local prices",'Capacity (local prices)'!L14,0))</f>
        <v>0</v>
      </c>
      <c r="D26" s="244">
        <f>IF($B$22="national prices",'Capacity (national prices)'!M12,IF($B$22="local prices",'Capacity (local prices)'!M14,0))</f>
        <v>400.30996034947719</v>
      </c>
      <c r="E26" s="244">
        <f>IF($B$22="national prices",'Capacity (national prices)'!N12,IF($B$22="local prices",'Capacity (local prices)'!N14,0))</f>
        <v>404.16967191307282</v>
      </c>
      <c r="F26" s="244">
        <f>IF($B$22="national prices",'Capacity (national prices)'!O12,IF($B$22="local prices",'Capacity (local prices)'!O14,0))</f>
        <v>408.06659807240999</v>
      </c>
      <c r="G26" s="244">
        <f>IF($B$22="national prices",'Capacity (national prices)'!P12,IF($B$22="local prices",'Capacity (local prices)'!P14,0))</f>
        <v>412.00109764348309</v>
      </c>
      <c r="H26" s="244">
        <f>IF($B$22="national prices",'Capacity (national prices)'!Q12,IF($B$22="local prices",'Capacity (local prices)'!Q14,0))</f>
        <v>415.97353290188039</v>
      </c>
      <c r="J26" s="133"/>
    </row>
    <row r="27" spans="1:10">
      <c r="A27" s="334"/>
      <c r="C27" s="78"/>
      <c r="D27" s="194">
        <f>D26-$C$26</f>
        <v>400.30996034947719</v>
      </c>
      <c r="E27" s="194">
        <f>E26-$C$26</f>
        <v>404.16967191307282</v>
      </c>
      <c r="F27" s="194">
        <f>F26-$C$26</f>
        <v>408.06659807240999</v>
      </c>
      <c r="G27" s="194">
        <f>G26-$C$26</f>
        <v>412.00109764348309</v>
      </c>
      <c r="H27" s="194">
        <f>H26-$C$26</f>
        <v>415.97353290188039</v>
      </c>
      <c r="I27" s="353" t="s">
        <v>832</v>
      </c>
      <c r="J27" s="133"/>
    </row>
    <row r="28" spans="1:10">
      <c r="A28" s="334"/>
      <c r="C28" s="88"/>
      <c r="D28" s="194">
        <f>D26-C26</f>
        <v>400.30996034947719</v>
      </c>
      <c r="E28" s="194">
        <f>E26-D26</f>
        <v>3.8597115635956243</v>
      </c>
      <c r="F28" s="194">
        <f>F26-E26</f>
        <v>3.8969261593371698</v>
      </c>
      <c r="G28" s="194">
        <f>G26-F26</f>
        <v>3.9344995710731041</v>
      </c>
      <c r="H28" s="194">
        <f>H26-G26</f>
        <v>3.9724352583972973</v>
      </c>
      <c r="I28" s="353" t="s">
        <v>833</v>
      </c>
      <c r="J28" s="133"/>
    </row>
    <row r="29" spans="1:10">
      <c r="A29" s="334"/>
      <c r="B29" s="334"/>
      <c r="C29" s="334"/>
      <c r="D29" s="334"/>
      <c r="E29" s="334"/>
      <c r="F29" s="334"/>
      <c r="G29" s="334"/>
      <c r="H29" s="334"/>
      <c r="J29" s="133"/>
    </row>
    <row r="30" spans="1:10" ht="43.5">
      <c r="A30" s="334"/>
      <c r="B30" s="252" t="s">
        <v>838</v>
      </c>
      <c r="C30" s="229" t="s">
        <v>821</v>
      </c>
      <c r="D30" s="260" t="s">
        <v>691</v>
      </c>
      <c r="E30" s="260" t="s">
        <v>692</v>
      </c>
      <c r="F30" s="261" t="s">
        <v>822</v>
      </c>
      <c r="G30" s="261" t="s">
        <v>823</v>
      </c>
      <c r="H30" s="260" t="s">
        <v>824</v>
      </c>
      <c r="J30" s="133"/>
    </row>
    <row r="31" spans="1:10">
      <c r="B31" s="278"/>
      <c r="C31" s="589" t="s">
        <v>830</v>
      </c>
      <c r="D31" s="589" t="s">
        <v>830</v>
      </c>
      <c r="E31" s="589" t="s">
        <v>830</v>
      </c>
      <c r="F31" s="589" t="s">
        <v>830</v>
      </c>
      <c r="G31" s="589" t="s">
        <v>830</v>
      </c>
      <c r="H31" s="589" t="s">
        <v>830</v>
      </c>
      <c r="I31" s="133"/>
      <c r="J31" s="133"/>
    </row>
    <row r="32" spans="1:10">
      <c r="B32" s="388" t="s">
        <v>839</v>
      </c>
      <c r="C32" s="407">
        <f>C17+C26</f>
        <v>93214.932000000001</v>
      </c>
      <c r="D32" s="407">
        <f t="shared" ref="D32:H32" si="1">D17+D26</f>
        <v>94137.547617748249</v>
      </c>
      <c r="E32" s="407">
        <f t="shared" si="1"/>
        <v>94855.161489946637</v>
      </c>
      <c r="F32" s="407">
        <f t="shared" si="1"/>
        <v>95577.862106274435</v>
      </c>
      <c r="G32" s="407">
        <f t="shared" si="1"/>
        <v>96305.680844966933</v>
      </c>
      <c r="H32" s="407">
        <f t="shared" si="1"/>
        <v>97038.649216458754</v>
      </c>
      <c r="I32" s="133"/>
      <c r="J32" s="133"/>
    </row>
    <row r="33" spans="2:14">
      <c r="B33" s="387"/>
      <c r="C33" s="389"/>
      <c r="D33" s="390">
        <f>D32-$C$32</f>
        <v>922.61561774824804</v>
      </c>
      <c r="E33" s="390">
        <f t="shared" ref="E33:H33" si="2">E32-$C$32</f>
        <v>1640.229489946636</v>
      </c>
      <c r="F33" s="390">
        <f t="shared" si="2"/>
        <v>2362.9301062744344</v>
      </c>
      <c r="G33" s="390">
        <f t="shared" si="2"/>
        <v>3090.7488449669327</v>
      </c>
      <c r="H33" s="390">
        <f t="shared" si="2"/>
        <v>3823.7172164587537</v>
      </c>
      <c r="I33" s="353" t="s">
        <v>832</v>
      </c>
      <c r="J33" s="133"/>
    </row>
    <row r="34" spans="2:14">
      <c r="B34" s="387"/>
      <c r="C34" s="389"/>
      <c r="D34" s="391">
        <f>D32-C32</f>
        <v>922.61561774824804</v>
      </c>
      <c r="E34" s="391">
        <f>E32-D32</f>
        <v>717.61387219838798</v>
      </c>
      <c r="F34" s="391">
        <f>F32-E32</f>
        <v>722.70061632779834</v>
      </c>
      <c r="G34" s="391">
        <f>G32-F32</f>
        <v>727.8187386924983</v>
      </c>
      <c r="H34" s="391">
        <f>H32-G32</f>
        <v>732.96837149182102</v>
      </c>
      <c r="I34" s="353" t="s">
        <v>833</v>
      </c>
      <c r="J34" s="133"/>
    </row>
    <row r="35" spans="2:14" ht="15" thickBot="1">
      <c r="B35" s="392"/>
      <c r="C35" s="392"/>
      <c r="D35" s="393"/>
      <c r="E35" s="393"/>
      <c r="F35" s="393"/>
      <c r="G35" s="393"/>
      <c r="H35" s="393"/>
      <c r="I35" s="394"/>
      <c r="J35" s="133"/>
    </row>
    <row r="36" spans="2:14">
      <c r="B36" s="258"/>
      <c r="C36" s="258"/>
      <c r="D36" s="284"/>
      <c r="E36" s="284"/>
      <c r="F36" s="284"/>
      <c r="G36" s="284"/>
      <c r="H36" s="284"/>
      <c r="I36" s="133"/>
      <c r="J36" s="133"/>
    </row>
    <row r="37" spans="2:14" ht="43.5">
      <c r="B37" s="252" t="s">
        <v>840</v>
      </c>
      <c r="C37" s="380"/>
      <c r="D37" s="260" t="s">
        <v>691</v>
      </c>
      <c r="E37" s="260" t="s">
        <v>692</v>
      </c>
      <c r="F37" s="261" t="s">
        <v>822</v>
      </c>
      <c r="G37" s="261" t="s">
        <v>823</v>
      </c>
      <c r="H37" s="260" t="s">
        <v>824</v>
      </c>
      <c r="I37" s="133"/>
      <c r="J37" s="133"/>
    </row>
    <row r="38" spans="2:14">
      <c r="B38" s="383"/>
      <c r="C38" s="381"/>
      <c r="D38" s="382"/>
      <c r="E38" s="382"/>
      <c r="F38" s="382"/>
      <c r="G38" s="382"/>
      <c r="H38" s="382"/>
      <c r="I38" s="133"/>
      <c r="J38" s="133"/>
    </row>
    <row r="39" spans="2:14">
      <c r="B39" s="252" t="s">
        <v>841</v>
      </c>
      <c r="C39" s="250"/>
      <c r="D39" s="246"/>
      <c r="E39" s="246"/>
      <c r="F39" s="246"/>
      <c r="G39" s="246"/>
      <c r="H39" s="247"/>
      <c r="I39" s="133"/>
      <c r="J39" s="133"/>
    </row>
    <row r="40" spans="2:14">
      <c r="B40" s="510" t="s">
        <v>842</v>
      </c>
      <c r="C40" s="509"/>
      <c r="D40" s="511">
        <f>'Capacity (local prices)'!E10-'Capacity (local prices)'!$D10</f>
        <v>2582.644905480498</v>
      </c>
      <c r="E40" s="511">
        <f>'Capacity (local prices)'!F10-'Capacity (local prices)'!$D10</f>
        <v>2607.5462704069214</v>
      </c>
      <c r="F40" s="511">
        <f>'Capacity (local prices)'!G10-'Capacity (local prices)'!$D10</f>
        <v>2632.6877294994192</v>
      </c>
      <c r="G40" s="511">
        <f>'Capacity (local prices)'!H10-'Capacity (local prices)'!$D10</f>
        <v>2658.0715976998908</v>
      </c>
      <c r="H40" s="511">
        <f>'Capacity (local prices)'!I10-'Capacity (local prices)'!$D10</f>
        <v>2683.7002122701961</v>
      </c>
      <c r="I40" s="133"/>
      <c r="J40" s="133"/>
    </row>
    <row r="41" spans="2:14">
      <c r="B41" s="510" t="s">
        <v>843</v>
      </c>
      <c r="C41" s="509"/>
      <c r="D41" s="511">
        <f>'Capacity (local prices)'!E11-'Capacity (local prices)'!$D11</f>
        <v>0</v>
      </c>
      <c r="E41" s="511">
        <f>'Capacity (local prices)'!F11-'Capacity (local prices)'!$D11</f>
        <v>0</v>
      </c>
      <c r="F41" s="511">
        <f>'Capacity (local prices)'!G11-'Capacity (local prices)'!$D11</f>
        <v>0</v>
      </c>
      <c r="G41" s="511">
        <f>'Capacity (local prices)'!H11-'Capacity (local prices)'!$D11</f>
        <v>0</v>
      </c>
      <c r="H41" s="511">
        <f>'Capacity (local prices)'!I11-'Capacity (local prices)'!$D11</f>
        <v>0</v>
      </c>
      <c r="I41" s="133"/>
      <c r="J41" s="133"/>
    </row>
    <row r="42" spans="2:14">
      <c r="B42" s="253" t="s">
        <v>844</v>
      </c>
      <c r="C42" s="254"/>
      <c r="D42" s="180">
        <f>'Capacity (local prices)'!E22</f>
        <v>1291.322452740249</v>
      </c>
      <c r="E42" s="180">
        <f>'Capacity (local prices)'!F22</f>
        <v>1303.7731352034607</v>
      </c>
      <c r="F42" s="180">
        <f>'Capacity (local prices)'!G22</f>
        <v>1316.3438647497096</v>
      </c>
      <c r="G42" s="180">
        <f>'Capacity (local prices)'!H22</f>
        <v>1329.0357988499454</v>
      </c>
      <c r="H42" s="180">
        <f>'Capacity (local prices)'!I22</f>
        <v>1341.850106135098</v>
      </c>
      <c r="I42" s="133"/>
      <c r="J42" s="133"/>
    </row>
    <row r="43" spans="2:14">
      <c r="B43" s="253" t="s">
        <v>845</v>
      </c>
      <c r="C43" s="254"/>
      <c r="D43" s="180">
        <f>'Capacity (local prices)'!E28</f>
        <v>0</v>
      </c>
      <c r="E43" s="180">
        <f>'Capacity (local prices)'!F28</f>
        <v>0</v>
      </c>
      <c r="F43" s="180">
        <f>'Capacity (local prices)'!G28</f>
        <v>0</v>
      </c>
      <c r="G43" s="180">
        <f>'Capacity (local prices)'!H28</f>
        <v>0</v>
      </c>
      <c r="H43" s="180">
        <f>'Capacity (local prices)'!I28</f>
        <v>0</v>
      </c>
      <c r="I43" s="133"/>
      <c r="J43" s="133"/>
    </row>
    <row r="44" spans="2:14">
      <c r="I44" s="133"/>
      <c r="J44" s="133"/>
    </row>
    <row r="45" spans="2:14">
      <c r="I45" s="133"/>
      <c r="J45" s="133"/>
    </row>
    <row r="46" spans="2:14">
      <c r="B46" s="258"/>
      <c r="C46" s="258"/>
      <c r="D46" s="245"/>
      <c r="E46" s="245"/>
      <c r="F46" s="245"/>
      <c r="G46" s="245"/>
      <c r="H46" s="245"/>
      <c r="I46" s="133"/>
      <c r="J46" s="133"/>
    </row>
    <row r="48" spans="2:14">
      <c r="D48" s="663"/>
      <c r="E48" s="664"/>
      <c r="F48" s="664"/>
      <c r="G48" s="664"/>
      <c r="H48" s="664"/>
      <c r="I48" s="664"/>
      <c r="J48" s="664"/>
      <c r="K48" s="664"/>
      <c r="L48" s="664"/>
      <c r="M48" s="664"/>
      <c r="N48" s="664"/>
    </row>
    <row r="49" spans="4:14"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</row>
    <row r="50" spans="4:14">
      <c r="D50" s="663"/>
      <c r="E50" s="664"/>
      <c r="F50" s="664"/>
      <c r="G50" s="664"/>
      <c r="H50" s="664"/>
      <c r="I50" s="664"/>
      <c r="J50" s="664"/>
      <c r="K50" s="664"/>
      <c r="L50" s="664"/>
      <c r="M50" s="664"/>
      <c r="N50" s="664"/>
    </row>
  </sheetData>
  <sheetProtection algorithmName="SHA-512" hashValue="IuK3Zn00+rBJ8w9RO0FGiry4AjGBYlKtk1AymxQZ38M2M+yxx4C+a0HCXgtvVOk2033IDv3IoU2ptYd2XiszOg==" saltValue="OzJ6O+3inYW1T19mtzg6cg==" spinCount="100000" sheet="1" objects="1" scenarios="1"/>
  <mergeCells count="2">
    <mergeCell ref="D48:N49"/>
    <mergeCell ref="D50:N50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7"/>
  <sheetViews>
    <sheetView showGridLines="0" zoomScale="80" zoomScaleNormal="80" zoomScaleSheetLayoutView="80" workbookViewId="0">
      <selection activeCell="L31" sqref="L31"/>
    </sheetView>
  </sheetViews>
  <sheetFormatPr defaultColWidth="8.7265625" defaultRowHeight="14.5"/>
  <cols>
    <col min="1" max="1" width="3.54296875" customWidth="1"/>
    <col min="2" max="2" width="50.5429687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7265625" customWidth="1"/>
    <col min="22" max="35" width="8.7265625" customWidth="1"/>
  </cols>
  <sheetData>
    <row r="1" spans="2:34" ht="30" customHeight="1">
      <c r="B1" s="431" t="str">
        <f>'Inputs and eligible population'!B1</f>
        <v>Vibegron for the symptoms of overactive bladder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5" customHeight="1">
      <c r="B2" s="320" t="s">
        <v>846</v>
      </c>
      <c r="C2" s="127" t="s">
        <v>758</v>
      </c>
      <c r="D2" s="127" t="s">
        <v>758</v>
      </c>
      <c r="E2" s="127" t="s">
        <v>758</v>
      </c>
      <c r="F2" s="127" t="s">
        <v>758</v>
      </c>
      <c r="G2" s="127" t="s">
        <v>758</v>
      </c>
      <c r="H2" s="127"/>
      <c r="I2" s="127" t="s">
        <v>758</v>
      </c>
      <c r="J2" s="127" t="s">
        <v>758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>
      <c r="B3" s="130" t="s">
        <v>758</v>
      </c>
      <c r="C3" s="133" t="s">
        <v>758</v>
      </c>
      <c r="D3" s="133" t="s">
        <v>758</v>
      </c>
      <c r="E3" s="133" t="s">
        <v>758</v>
      </c>
      <c r="F3" s="133" t="s">
        <v>758</v>
      </c>
      <c r="G3" s="133" t="s">
        <v>758</v>
      </c>
      <c r="H3" s="133" t="s">
        <v>758</v>
      </c>
      <c r="I3" s="133" t="s">
        <v>758</v>
      </c>
      <c r="J3" s="133" t="s">
        <v>758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33" customFormat="1">
      <c r="B4" s="238" t="s">
        <v>847</v>
      </c>
      <c r="F4" s="133"/>
      <c r="G4" s="133"/>
      <c r="H4" s="133"/>
      <c r="I4" s="133"/>
      <c r="J4" s="133" t="s">
        <v>758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33" customFormat="1">
      <c r="B5" s="238" t="s">
        <v>848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33" customFormat="1">
      <c r="B6" s="238"/>
      <c r="C6" s="133" t="s">
        <v>758</v>
      </c>
      <c r="D6" s="133" t="s">
        <v>758</v>
      </c>
      <c r="E6" s="133"/>
      <c r="F6" s="133"/>
      <c r="G6" s="133"/>
      <c r="H6" s="133"/>
      <c r="I6" s="133" t="s">
        <v>758</v>
      </c>
      <c r="J6" s="133" t="s">
        <v>758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33" customFormat="1" ht="43.5">
      <c r="B7" s="249" t="s">
        <v>825</v>
      </c>
      <c r="C7" s="259"/>
      <c r="D7" s="339" t="s">
        <v>849</v>
      </c>
      <c r="E7" s="260" t="s">
        <v>691</v>
      </c>
      <c r="F7" s="260" t="s">
        <v>692</v>
      </c>
      <c r="G7" s="261" t="s">
        <v>822</v>
      </c>
      <c r="H7" s="261" t="s">
        <v>823</v>
      </c>
      <c r="I7" s="260" t="s">
        <v>824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>
      <c r="B8" s="216" t="s">
        <v>825</v>
      </c>
      <c r="C8" s="181"/>
      <c r="D8" s="180">
        <f>'Inputs and eligible population'!F39</f>
        <v>267859</v>
      </c>
      <c r="E8" s="180">
        <f>'Inputs and eligible population'!G39</f>
        <v>270441.6449054805</v>
      </c>
      <c r="F8" s="180">
        <f>'Inputs and eligible population'!H39</f>
        <v>273049.19117588742</v>
      </c>
      <c r="G8" s="180">
        <f>'Inputs and eligible population'!I39</f>
        <v>275681.87890538684</v>
      </c>
      <c r="H8" s="180">
        <f>'Inputs and eligible population'!J39</f>
        <v>278339.95050308673</v>
      </c>
      <c r="I8" s="180">
        <f>'Inputs and eligible population'!K39</f>
        <v>281023.65071535693</v>
      </c>
      <c r="K8" s="133"/>
      <c r="L8" s="133"/>
    </row>
    <row r="9" spans="2:34" s="233" customFormat="1">
      <c r="B9" s="235" t="s">
        <v>758</v>
      </c>
      <c r="C9" s="133" t="s">
        <v>758</v>
      </c>
      <c r="D9" s="133" t="s">
        <v>758</v>
      </c>
      <c r="E9" s="133" t="s">
        <v>758</v>
      </c>
      <c r="F9" s="133" t="s">
        <v>758</v>
      </c>
      <c r="G9" s="133" t="s">
        <v>758</v>
      </c>
      <c r="H9" s="133"/>
      <c r="I9" s="133"/>
      <c r="K9" s="133"/>
      <c r="L9" s="133"/>
      <c r="N9" s="133"/>
      <c r="O9" s="133"/>
      <c r="P9" s="133"/>
      <c r="Q9" s="133"/>
      <c r="R9" s="133"/>
      <c r="S9" s="133"/>
      <c r="T9" s="133"/>
      <c r="AD9" s="262"/>
      <c r="AE9" s="262"/>
      <c r="AF9" s="262"/>
      <c r="AG9" s="262"/>
      <c r="AH9" s="262"/>
    </row>
    <row r="10" spans="2:34" s="233" customFormat="1">
      <c r="B10" s="287" t="s">
        <v>829</v>
      </c>
      <c r="C10" s="288"/>
      <c r="D10" s="289"/>
      <c r="E10" s="289"/>
      <c r="F10" s="289"/>
      <c r="G10" s="289"/>
      <c r="H10" s="289"/>
      <c r="I10" s="290"/>
      <c r="K10" s="133"/>
      <c r="L10" s="133"/>
      <c r="N10" s="133"/>
      <c r="O10" s="133"/>
      <c r="P10" s="133"/>
      <c r="Q10" s="133"/>
      <c r="R10" s="133"/>
      <c r="S10" s="133"/>
      <c r="T10" s="133"/>
    </row>
    <row r="11" spans="2:34" s="233" customFormat="1">
      <c r="B11" s="235"/>
      <c r="C11" s="133"/>
      <c r="D11" s="133"/>
      <c r="E11" s="133"/>
      <c r="F11" s="133"/>
      <c r="G11" s="133"/>
      <c r="H11" s="133"/>
      <c r="I11" s="133"/>
      <c r="N11" s="133"/>
      <c r="O11" s="133"/>
      <c r="P11" s="133"/>
      <c r="Q11" s="133"/>
      <c r="R11" s="133"/>
      <c r="S11" s="133"/>
      <c r="T11" s="133"/>
      <c r="AD11" s="262"/>
      <c r="AE11" s="262"/>
      <c r="AF11" s="262"/>
      <c r="AG11" s="262"/>
      <c r="AH11" s="262"/>
    </row>
    <row r="12" spans="2:34" s="233" customFormat="1">
      <c r="B12" s="268" t="s">
        <v>850</v>
      </c>
      <c r="C12" s="263"/>
      <c r="D12" s="182"/>
      <c r="E12" s="182"/>
      <c r="F12" s="182"/>
      <c r="G12" s="182"/>
      <c r="H12" s="182"/>
      <c r="I12" s="183"/>
      <c r="N12" s="133"/>
      <c r="O12" s="133"/>
      <c r="P12" s="133"/>
      <c r="Q12" s="133"/>
      <c r="R12" s="133"/>
      <c r="S12" s="133"/>
      <c r="T12" s="133"/>
    </row>
    <row r="13" spans="2:34" s="233" customFormat="1">
      <c r="B13" s="294" t="s">
        <v>708</v>
      </c>
      <c r="C13" s="295"/>
      <c r="D13" s="264">
        <f>'Inputs and eligible population'!L57</f>
        <v>0</v>
      </c>
      <c r="E13" s="264">
        <f>'Inputs and eligible population'!M57</f>
        <v>13522.082245274025</v>
      </c>
      <c r="F13" s="264">
        <f>'Inputs and eligible population'!N57</f>
        <v>20478.689338191554</v>
      </c>
      <c r="G13" s="264">
        <f>'Inputs and eligible population'!O57</f>
        <v>27568.187890538684</v>
      </c>
      <c r="H13" s="264">
        <f>'Inputs and eligible population'!P57</f>
        <v>34792.493812885841</v>
      </c>
      <c r="I13" s="264">
        <f>'Inputs and eligible population'!Q57</f>
        <v>42153.547607303539</v>
      </c>
      <c r="N13" s="133"/>
      <c r="O13" s="133"/>
      <c r="P13" s="133"/>
      <c r="Q13" s="133"/>
      <c r="R13" s="133"/>
      <c r="S13" s="133"/>
      <c r="T13" s="133"/>
      <c r="V13" s="262"/>
      <c r="W13" s="262"/>
      <c r="X13" s="262"/>
      <c r="Y13" s="262"/>
      <c r="Z13" s="262"/>
      <c r="AA13" s="262"/>
      <c r="AC13" s="262"/>
      <c r="AD13" s="262"/>
      <c r="AE13" s="262"/>
      <c r="AF13" s="262"/>
      <c r="AG13" s="262"/>
      <c r="AH13" s="262"/>
    </row>
    <row r="14" spans="2:34" s="233" customFormat="1">
      <c r="B14" s="294" t="s">
        <v>709</v>
      </c>
      <c r="C14" s="616"/>
      <c r="D14" s="264">
        <f>'Inputs and eligible population'!L58</f>
        <v>267859</v>
      </c>
      <c r="E14" s="264">
        <f>'Inputs and eligible population'!M58</f>
        <v>256919.56266020646</v>
      </c>
      <c r="F14" s="264">
        <f>'Inputs and eligible population'!N58</f>
        <v>252570.50183769586</v>
      </c>
      <c r="G14" s="264">
        <f>'Inputs and eligible population'!O58</f>
        <v>248113.69101484815</v>
      </c>
      <c r="H14" s="264">
        <f>'Inputs and eligible population'!P58</f>
        <v>243547.4566902009</v>
      </c>
      <c r="I14" s="264">
        <f>'Inputs and eligible population'!Q58</f>
        <v>238870.10310805339</v>
      </c>
      <c r="N14" s="133"/>
      <c r="O14" s="133"/>
      <c r="P14" s="133"/>
      <c r="Q14" s="133"/>
      <c r="R14" s="133"/>
      <c r="S14" s="133"/>
      <c r="T14" s="133"/>
      <c r="V14" s="262"/>
      <c r="W14" s="262"/>
      <c r="X14" s="262"/>
      <c r="Y14" s="262"/>
      <c r="Z14" s="262"/>
      <c r="AA14" s="262"/>
      <c r="AC14" s="262"/>
      <c r="AD14" s="262"/>
      <c r="AE14" s="262"/>
      <c r="AF14" s="262"/>
      <c r="AG14" s="262"/>
      <c r="AH14" s="262"/>
    </row>
    <row r="15" spans="2:34" s="233" customFormat="1">
      <c r="B15" s="269"/>
      <c r="C15" s="184"/>
      <c r="D15" s="185">
        <f t="shared" ref="D15:I15" si="0">SUM(D13:D14)</f>
        <v>267859</v>
      </c>
      <c r="E15" s="185">
        <f t="shared" si="0"/>
        <v>270441.6449054805</v>
      </c>
      <c r="F15" s="185">
        <f t="shared" si="0"/>
        <v>273049.19117588742</v>
      </c>
      <c r="G15" s="185">
        <f t="shared" si="0"/>
        <v>275681.87890538684</v>
      </c>
      <c r="H15" s="185">
        <f t="shared" si="0"/>
        <v>278339.95050308673</v>
      </c>
      <c r="I15" s="185">
        <f t="shared" si="0"/>
        <v>281023.65071535693</v>
      </c>
      <c r="N15" s="133"/>
      <c r="O15" s="133"/>
      <c r="P15" s="133"/>
      <c r="Q15" s="133"/>
      <c r="R15" s="133"/>
      <c r="S15" s="133"/>
      <c r="T15" s="133"/>
      <c r="V15" s="262"/>
      <c r="W15" s="262"/>
      <c r="X15" s="262"/>
      <c r="Y15" s="262"/>
      <c r="Z15" s="262"/>
      <c r="AA15" s="262"/>
      <c r="AC15" s="262"/>
      <c r="AD15" s="262"/>
      <c r="AE15" s="262"/>
      <c r="AF15" s="262"/>
      <c r="AG15" s="262"/>
      <c r="AH15" s="262"/>
    </row>
    <row r="16" spans="2:34" s="233" customFormat="1">
      <c r="B16" s="270"/>
      <c r="C16" s="133"/>
      <c r="D16" s="133"/>
      <c r="E16" s="133"/>
      <c r="F16" s="133"/>
      <c r="G16" s="133"/>
      <c r="H16" s="133"/>
      <c r="I16" s="133"/>
      <c r="N16" s="133"/>
      <c r="O16" s="133"/>
      <c r="P16" s="133"/>
      <c r="Q16" s="133"/>
      <c r="R16" s="133"/>
      <c r="S16" s="133"/>
      <c r="T16" s="133"/>
      <c r="AD16" s="262"/>
      <c r="AE16" s="262"/>
      <c r="AF16" s="262"/>
      <c r="AG16" s="262"/>
      <c r="AH16" s="262"/>
    </row>
    <row r="17" spans="2:34" s="233" customFormat="1">
      <c r="B17" s="271" t="s">
        <v>851</v>
      </c>
      <c r="C17" s="265" t="s">
        <v>852</v>
      </c>
      <c r="D17" s="589" t="s">
        <v>830</v>
      </c>
      <c r="E17" s="589" t="s">
        <v>830</v>
      </c>
      <c r="F17" s="589" t="s">
        <v>830</v>
      </c>
      <c r="G17" s="589" t="s">
        <v>830</v>
      </c>
      <c r="H17" s="589" t="s">
        <v>830</v>
      </c>
      <c r="I17" s="589" t="s">
        <v>830</v>
      </c>
      <c r="N17" s="133"/>
      <c r="O17" s="133"/>
      <c r="P17" s="133"/>
      <c r="Q17" s="133"/>
      <c r="R17" s="133"/>
      <c r="S17" s="133"/>
      <c r="T17" s="133"/>
      <c r="AD17" s="262"/>
      <c r="AE17" s="262"/>
      <c r="AF17" s="262"/>
      <c r="AG17" s="262"/>
      <c r="AH17" s="262"/>
    </row>
    <row r="18" spans="2:34" s="233" customFormat="1">
      <c r="B18" s="294" t="s">
        <v>708</v>
      </c>
      <c r="C18" s="266">
        <f>'Unit costs'!S12</f>
        <v>320.15999999999997</v>
      </c>
      <c r="D18" s="266">
        <f t="shared" ref="D18:I19" si="1">D13*$C18/1000</f>
        <v>0</v>
      </c>
      <c r="E18" s="266">
        <f t="shared" si="1"/>
        <v>4329.2298516469318</v>
      </c>
      <c r="F18" s="266">
        <f t="shared" si="1"/>
        <v>6556.4571785154076</v>
      </c>
      <c r="G18" s="266">
        <f t="shared" si="1"/>
        <v>8826.2310350348635</v>
      </c>
      <c r="H18" s="266">
        <f t="shared" si="1"/>
        <v>11139.16481913353</v>
      </c>
      <c r="I18" s="266">
        <f t="shared" si="1"/>
        <v>13495.879801954299</v>
      </c>
      <c r="N18" s="133"/>
      <c r="O18" s="133"/>
      <c r="P18" s="133"/>
      <c r="Q18" s="133"/>
      <c r="R18" s="133"/>
      <c r="S18" s="133"/>
      <c r="T18" s="133"/>
      <c r="AD18" s="262"/>
      <c r="AE18" s="262"/>
      <c r="AF18" s="262"/>
      <c r="AG18" s="262"/>
      <c r="AH18" s="262"/>
    </row>
    <row r="19" spans="2:34" s="233" customFormat="1">
      <c r="B19" s="294" t="s">
        <v>709</v>
      </c>
      <c r="C19" s="266">
        <f>'Unit costs'!S18</f>
        <v>348</v>
      </c>
      <c r="D19" s="266">
        <f t="shared" si="1"/>
        <v>93214.932000000001</v>
      </c>
      <c r="E19" s="266">
        <f t="shared" si="1"/>
        <v>89408.00780575184</v>
      </c>
      <c r="F19" s="266">
        <f t="shared" si="1"/>
        <v>87894.534639518155</v>
      </c>
      <c r="G19" s="266">
        <f t="shared" si="1"/>
        <v>86343.564473167149</v>
      </c>
      <c r="H19" s="266">
        <f t="shared" si="1"/>
        <v>84754.514928189921</v>
      </c>
      <c r="I19" s="266">
        <f t="shared" si="1"/>
        <v>83126.795881602578</v>
      </c>
      <c r="N19" s="133"/>
      <c r="O19" s="133"/>
      <c r="P19" s="133"/>
      <c r="Q19" s="133"/>
      <c r="R19" s="133"/>
      <c r="S19" s="133"/>
      <c r="T19" s="133"/>
      <c r="AD19" s="262"/>
      <c r="AE19" s="262"/>
      <c r="AF19" s="262"/>
      <c r="AG19" s="262"/>
      <c r="AH19" s="262"/>
    </row>
    <row r="20" spans="2:34" s="233" customFormat="1">
      <c r="B20" s="269" t="s">
        <v>853</v>
      </c>
      <c r="C20" s="546"/>
      <c r="D20" s="186">
        <f t="shared" ref="D20:I20" si="2">SUM(D18:D19)</f>
        <v>93214.932000000001</v>
      </c>
      <c r="E20" s="186">
        <f t="shared" si="2"/>
        <v>93737.237657398771</v>
      </c>
      <c r="F20" s="186">
        <f t="shared" si="2"/>
        <v>94450.991818033566</v>
      </c>
      <c r="G20" s="186">
        <f t="shared" si="2"/>
        <v>95169.79550820202</v>
      </c>
      <c r="H20" s="187">
        <f t="shared" si="2"/>
        <v>95893.679747323447</v>
      </c>
      <c r="I20" s="186">
        <f t="shared" si="2"/>
        <v>96622.675683556881</v>
      </c>
      <c r="J20" s="302"/>
      <c r="N20" s="133"/>
      <c r="O20" s="133"/>
      <c r="P20" s="133"/>
      <c r="Q20" s="133"/>
      <c r="R20" s="133"/>
      <c r="S20" s="133"/>
      <c r="T20" s="133"/>
      <c r="AD20" s="262"/>
      <c r="AE20" s="262"/>
      <c r="AF20" s="262"/>
      <c r="AG20" s="262"/>
      <c r="AH20" s="262"/>
    </row>
    <row r="21" spans="2:34" s="233" customFormat="1">
      <c r="B21" s="270"/>
      <c r="C21" s="133"/>
      <c r="D21" s="133"/>
      <c r="E21" s="133"/>
      <c r="F21" s="133"/>
      <c r="G21" s="133"/>
      <c r="H21" s="133"/>
      <c r="I21" s="133"/>
      <c r="N21" s="133"/>
      <c r="O21" s="133"/>
      <c r="P21" s="133"/>
      <c r="Q21" s="133"/>
      <c r="R21" s="133"/>
      <c r="S21" s="133"/>
      <c r="T21" s="133"/>
      <c r="AD21" s="262"/>
      <c r="AE21" s="262"/>
      <c r="AF21" s="262"/>
      <c r="AG21" s="262"/>
      <c r="AH21" s="262"/>
    </row>
    <row r="22" spans="2:34" s="233" customFormat="1">
      <c r="B22" s="321"/>
      <c r="C22" s="267"/>
      <c r="D22" s="301" t="s">
        <v>832</v>
      </c>
      <c r="E22" s="186">
        <f>E20-$D$20</f>
        <v>522.30565739877056</v>
      </c>
      <c r="F22" s="186">
        <f t="shared" ref="F22:I22" si="3">F20-$D$20</f>
        <v>1236.0598180335655</v>
      </c>
      <c r="G22" s="186">
        <f t="shared" si="3"/>
        <v>1954.8635082020191</v>
      </c>
      <c r="H22" s="186">
        <f t="shared" si="3"/>
        <v>2678.7477473234467</v>
      </c>
      <c r="I22" s="186">
        <f t="shared" si="3"/>
        <v>3407.7436835568806</v>
      </c>
      <c r="N22" s="133"/>
      <c r="O22" s="133"/>
      <c r="P22" s="133"/>
      <c r="Q22" s="133"/>
      <c r="R22" s="133"/>
      <c r="S22" s="133"/>
      <c r="T22" s="133"/>
      <c r="AD22" s="262"/>
      <c r="AE22" s="262"/>
      <c r="AF22" s="262"/>
      <c r="AG22" s="262"/>
      <c r="AH22" s="262"/>
    </row>
    <row r="23" spans="2:34" s="233" customFormat="1">
      <c r="B23" s="321"/>
      <c r="C23" s="267"/>
      <c r="D23" s="272" t="s">
        <v>854</v>
      </c>
      <c r="E23" s="186">
        <f>E22</f>
        <v>522.30565739877056</v>
      </c>
      <c r="F23" s="188">
        <f>F22-E22</f>
        <v>713.75416063479497</v>
      </c>
      <c r="G23" s="188">
        <f t="shared" ref="G23:I23" si="4">G22-F22</f>
        <v>718.80369016845361</v>
      </c>
      <c r="H23" s="188">
        <f t="shared" si="4"/>
        <v>723.88423912142753</v>
      </c>
      <c r="I23" s="188">
        <f t="shared" si="4"/>
        <v>728.99593623343389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AD23" s="262"/>
      <c r="AE23" s="262"/>
      <c r="AF23" s="262"/>
      <c r="AG23" s="262"/>
      <c r="AH23" s="262"/>
    </row>
    <row r="25" spans="2:34">
      <c r="I25" s="274"/>
      <c r="J25" s="233"/>
      <c r="K25" s="233"/>
    </row>
    <row r="26" spans="2:34">
      <c r="I26" s="371"/>
      <c r="J26" s="233"/>
      <c r="K26" s="233"/>
    </row>
    <row r="27" spans="2:34">
      <c r="I27" s="622"/>
      <c r="J27" s="233"/>
      <c r="K27" s="233"/>
    </row>
  </sheetData>
  <sheetProtection algorithmName="SHA-512" hashValue="lz5Ohyu93XJ8LVMyaXVEuM31mZPVqaG8yI3WetCCYjYS5Tp+K+NBllxIk163LHDQFoZ0PqM3eMNrXfnwucOwyg==" saltValue="lRcQjJIqk9rzOcPEdKtWcA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29"/>
  <sheetViews>
    <sheetView showGridLines="0" zoomScale="80" zoomScaleNormal="80" zoomScaleSheetLayoutView="30" workbookViewId="0">
      <selection activeCell="B20" sqref="B20"/>
    </sheetView>
  </sheetViews>
  <sheetFormatPr defaultColWidth="8.7265625" defaultRowHeight="14.5"/>
  <cols>
    <col min="1" max="1" width="3.54296875" customWidth="1"/>
    <col min="2" max="2" width="56.54296875" style="1" customWidth="1"/>
    <col min="3" max="9" width="12.54296875" customWidth="1"/>
    <col min="10" max="10" width="1.7265625" customWidth="1"/>
    <col min="11" max="18" width="11.54296875" customWidth="1"/>
    <col min="19" max="19" width="11.453125" customWidth="1"/>
    <col min="20" max="20" width="11.54296875" customWidth="1"/>
    <col min="21" max="26" width="10.7265625" customWidth="1"/>
    <col min="28" max="41" width="0" hidden="1" customWidth="1"/>
  </cols>
  <sheetData>
    <row r="1" spans="1:40" ht="30" customHeight="1">
      <c r="B1" s="431" t="str">
        <f>'Inputs and eligible population'!B1</f>
        <v>Vibegron for the symptoms of overactive bladder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5" customHeight="1">
      <c r="B2" s="212" t="s">
        <v>855</v>
      </c>
      <c r="C2" s="127" t="s">
        <v>758</v>
      </c>
      <c r="D2" s="127" t="s">
        <v>758</v>
      </c>
      <c r="E2" s="386"/>
      <c r="F2" s="127" t="s">
        <v>758</v>
      </c>
      <c r="G2" s="127" t="s">
        <v>758</v>
      </c>
      <c r="H2" s="127" t="s">
        <v>758</v>
      </c>
      <c r="I2" s="127" t="s">
        <v>758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65" customHeight="1">
      <c r="B3" s="130" t="s">
        <v>758</v>
      </c>
      <c r="C3" s="133" t="s">
        <v>758</v>
      </c>
      <c r="D3" s="133" t="s">
        <v>758</v>
      </c>
      <c r="F3" s="133" t="s">
        <v>758</v>
      </c>
      <c r="G3" s="133" t="s">
        <v>758</v>
      </c>
      <c r="H3" s="133" t="s">
        <v>758</v>
      </c>
      <c r="I3" s="133" t="s">
        <v>758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65" customHeight="1">
      <c r="B4" t="s">
        <v>856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65" customHeight="1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3.5">
      <c r="B6" s="249" t="s">
        <v>825</v>
      </c>
      <c r="C6" s="207"/>
      <c r="D6" s="339" t="s">
        <v>849</v>
      </c>
      <c r="E6" s="247" t="s">
        <v>691</v>
      </c>
      <c r="F6" s="247" t="s">
        <v>692</v>
      </c>
      <c r="G6" s="164" t="s">
        <v>822</v>
      </c>
      <c r="H6" s="164" t="s">
        <v>823</v>
      </c>
      <c r="I6" s="247" t="s">
        <v>824</v>
      </c>
      <c r="L6" s="339" t="s">
        <v>849</v>
      </c>
      <c r="M6" s="247" t="s">
        <v>691</v>
      </c>
      <c r="N6" s="247" t="s">
        <v>692</v>
      </c>
      <c r="O6" s="164" t="s">
        <v>822</v>
      </c>
      <c r="P6" s="164" t="s">
        <v>823</v>
      </c>
      <c r="Q6" s="247" t="s">
        <v>824</v>
      </c>
      <c r="R6" s="133"/>
      <c r="S6" s="133"/>
      <c r="T6" s="133"/>
      <c r="U6" s="133"/>
      <c r="V6" s="133"/>
      <c r="W6" s="133"/>
      <c r="X6" s="133"/>
      <c r="Y6" s="133"/>
      <c r="Z6" s="133"/>
      <c r="AJ6" s="274"/>
      <c r="AK6" s="274"/>
      <c r="AL6" s="274"/>
      <c r="AM6" s="274"/>
      <c r="AN6" s="274"/>
    </row>
    <row r="7" spans="1:40">
      <c r="B7" s="216" t="s">
        <v>825</v>
      </c>
      <c r="C7" s="167"/>
      <c r="D7" s="322">
        <f>'Inputs and eligible population'!F39</f>
        <v>267859</v>
      </c>
      <c r="E7" s="322">
        <f>'Inputs and eligible population'!G39</f>
        <v>270441.6449054805</v>
      </c>
      <c r="F7" s="322">
        <f>'Inputs and eligible population'!H39</f>
        <v>273049.19117588742</v>
      </c>
      <c r="G7" s="322">
        <f>'Inputs and eligible population'!I39</f>
        <v>275681.87890538684</v>
      </c>
      <c r="H7" s="322">
        <f>'Inputs and eligible population'!J39</f>
        <v>278339.95050308673</v>
      </c>
      <c r="I7" s="322">
        <f>'Inputs and eligible population'!K39</f>
        <v>281023.65071535693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74"/>
      <c r="AK7" s="274"/>
      <c r="AL7" s="274"/>
      <c r="AM7" s="274"/>
      <c r="AN7" s="274"/>
    </row>
    <row r="8" spans="1:40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74"/>
      <c r="AK8" s="274"/>
      <c r="AL8" s="274"/>
      <c r="AM8" s="274"/>
      <c r="AN8" s="274"/>
    </row>
    <row r="9" spans="1:40">
      <c r="B9" s="268" t="s">
        <v>857</v>
      </c>
      <c r="C9" s="342"/>
      <c r="D9" s="342"/>
      <c r="E9" s="343"/>
      <c r="F9" s="342"/>
      <c r="G9" s="344"/>
      <c r="H9" s="345"/>
      <c r="I9" s="457"/>
      <c r="L9" s="589" t="s">
        <v>830</v>
      </c>
      <c r="M9" s="589" t="s">
        <v>830</v>
      </c>
      <c r="N9" s="589" t="s">
        <v>830</v>
      </c>
      <c r="O9" s="589" t="s">
        <v>830</v>
      </c>
      <c r="P9" s="589" t="s">
        <v>830</v>
      </c>
      <c r="Q9" s="589" t="s">
        <v>830</v>
      </c>
      <c r="R9" s="133"/>
      <c r="S9" s="133"/>
      <c r="T9" s="133"/>
      <c r="U9" s="133"/>
      <c r="V9" s="133"/>
      <c r="W9" s="133"/>
      <c r="X9" s="133"/>
      <c r="Y9" s="133"/>
      <c r="Z9" s="133"/>
      <c r="AJ9" s="274"/>
      <c r="AK9" s="274"/>
      <c r="AL9" s="274"/>
      <c r="AM9" s="274"/>
      <c r="AN9" s="274"/>
    </row>
    <row r="10" spans="1:40">
      <c r="A10" s="275"/>
      <c r="B10" s="451" t="str">
        <f>'Capacity (national prices)'!B10</f>
        <v>First attendances - number of appointments</v>
      </c>
      <c r="C10" s="327"/>
      <c r="D10" s="341">
        <f>'Capacity (national prices)'!D10</f>
        <v>0</v>
      </c>
      <c r="E10" s="341">
        <f>'Capacity (national prices)'!E10</f>
        <v>2582.644905480498</v>
      </c>
      <c r="F10" s="341">
        <f>'Capacity (national prices)'!F10</f>
        <v>2607.5462704069214</v>
      </c>
      <c r="G10" s="341">
        <f>'Capacity (national prices)'!G10</f>
        <v>2632.6877294994192</v>
      </c>
      <c r="H10" s="341">
        <f>'Capacity (national prices)'!H10</f>
        <v>2658.0715976998908</v>
      </c>
      <c r="I10" s="341">
        <f>'Capacity (national prices)'!I10</f>
        <v>2683.7002122701961</v>
      </c>
      <c r="L10" s="243"/>
      <c r="M10" s="243"/>
      <c r="N10" s="243"/>
      <c r="O10" s="243"/>
      <c r="P10" s="243"/>
      <c r="Q10" s="243"/>
      <c r="R10" s="133"/>
      <c r="S10" s="133"/>
      <c r="T10" s="133"/>
      <c r="U10" s="133"/>
      <c r="V10" s="133"/>
      <c r="W10" s="133"/>
      <c r="X10" s="133"/>
      <c r="Y10" s="133"/>
      <c r="Z10" s="133"/>
      <c r="AJ10" s="274"/>
      <c r="AK10" s="274"/>
      <c r="AL10" s="274"/>
      <c r="AM10" s="274"/>
      <c r="AN10" s="274"/>
    </row>
    <row r="11" spans="1:40">
      <c r="A11" s="275"/>
      <c r="B11" s="451" t="str">
        <f>'Capacity (national prices)'!B11</f>
        <v>Follow up attendances - number of appointments</v>
      </c>
      <c r="C11" s="327"/>
      <c r="D11" s="341">
        <f>'Capacity (national prices)'!D11</f>
        <v>0</v>
      </c>
      <c r="E11" s="341">
        <f>'Capacity (national prices)'!E11</f>
        <v>0</v>
      </c>
      <c r="F11" s="341">
        <f>'Capacity (national prices)'!F11</f>
        <v>0</v>
      </c>
      <c r="G11" s="341">
        <f>'Capacity (national prices)'!G11</f>
        <v>0</v>
      </c>
      <c r="H11" s="341">
        <f>'Capacity (national prices)'!H11</f>
        <v>0</v>
      </c>
      <c r="I11" s="341">
        <f>'Capacity (national prices)'!I11</f>
        <v>0</v>
      </c>
      <c r="L11" s="243"/>
      <c r="M11" s="243"/>
      <c r="N11" s="243"/>
      <c r="O11" s="243"/>
      <c r="P11" s="243"/>
      <c r="Q11" s="243"/>
      <c r="R11" s="133"/>
      <c r="S11" s="133"/>
      <c r="T11" s="133"/>
      <c r="U11" s="133"/>
      <c r="V11" s="133"/>
      <c r="W11" s="133"/>
      <c r="X11" s="133"/>
      <c r="Y11" s="133"/>
      <c r="Z11" s="133"/>
      <c r="AJ11" s="274"/>
      <c r="AK11" s="274"/>
      <c r="AL11" s="274"/>
      <c r="AM11" s="274"/>
      <c r="AN11" s="274"/>
    </row>
    <row r="12" spans="1:40">
      <c r="A12" s="275"/>
      <c r="B12" s="451" t="str">
        <f>B18</f>
        <v>First attendances - hours and cost</v>
      </c>
      <c r="C12" s="327"/>
      <c r="D12" s="341">
        <f>D21</f>
        <v>0</v>
      </c>
      <c r="E12" s="341">
        <f t="shared" ref="E12:I12" si="0">E21</f>
        <v>1291.322452740249</v>
      </c>
      <c r="F12" s="341">
        <f t="shared" si="0"/>
        <v>1303.7731352034607</v>
      </c>
      <c r="G12" s="341">
        <f t="shared" si="0"/>
        <v>1316.3438647497096</v>
      </c>
      <c r="H12" s="341">
        <f t="shared" si="0"/>
        <v>1329.0357988499454</v>
      </c>
      <c r="I12" s="341">
        <f t="shared" si="0"/>
        <v>1341.850106135098</v>
      </c>
      <c r="L12" s="276">
        <f>L21</f>
        <v>0</v>
      </c>
      <c r="M12" s="276">
        <f t="shared" ref="M12:Q12" si="1">M21</f>
        <v>156.35332257778933</v>
      </c>
      <c r="N12" s="276">
        <f t="shared" si="1"/>
        <v>157.86085121043502</v>
      </c>
      <c r="O12" s="276">
        <f t="shared" si="1"/>
        <v>159.38291514389482</v>
      </c>
      <c r="P12" s="276">
        <f t="shared" si="1"/>
        <v>160.91965452475139</v>
      </c>
      <c r="Q12" s="276">
        <f t="shared" si="1"/>
        <v>162.47121085083765</v>
      </c>
      <c r="R12" s="133"/>
      <c r="S12" s="133"/>
      <c r="T12" s="133"/>
      <c r="U12" s="133"/>
      <c r="V12" s="133"/>
      <c r="W12" s="133"/>
      <c r="X12" s="133"/>
      <c r="Y12" s="133"/>
      <c r="Z12" s="133"/>
      <c r="AJ12" s="274"/>
      <c r="AK12" s="274"/>
      <c r="AL12" s="274"/>
      <c r="AM12" s="274"/>
      <c r="AN12" s="274"/>
    </row>
    <row r="13" spans="1:40">
      <c r="A13" s="275"/>
      <c r="B13" s="451" t="str">
        <f>B24</f>
        <v>Follow up attendances hours and cost</v>
      </c>
      <c r="C13" s="327"/>
      <c r="D13" s="341">
        <f>D27</f>
        <v>0</v>
      </c>
      <c r="E13" s="341">
        <f t="shared" ref="E13:I13" si="2">E27</f>
        <v>0</v>
      </c>
      <c r="F13" s="341">
        <f t="shared" si="2"/>
        <v>0</v>
      </c>
      <c r="G13" s="341">
        <f t="shared" si="2"/>
        <v>0</v>
      </c>
      <c r="H13" s="341">
        <f t="shared" si="2"/>
        <v>0</v>
      </c>
      <c r="I13" s="341">
        <f t="shared" si="2"/>
        <v>0</v>
      </c>
      <c r="L13" s="276">
        <f>L27</f>
        <v>0</v>
      </c>
      <c r="M13" s="276">
        <f t="shared" ref="M13:Q13" si="3">M27</f>
        <v>0</v>
      </c>
      <c r="N13" s="276">
        <f t="shared" si="3"/>
        <v>0</v>
      </c>
      <c r="O13" s="276">
        <f t="shared" si="3"/>
        <v>0</v>
      </c>
      <c r="P13" s="276">
        <f t="shared" si="3"/>
        <v>0</v>
      </c>
      <c r="Q13" s="276">
        <f t="shared" si="3"/>
        <v>0</v>
      </c>
      <c r="R13" s="133"/>
      <c r="S13" s="133"/>
      <c r="T13" s="133"/>
      <c r="U13" s="133"/>
      <c r="V13" s="133"/>
      <c r="W13" s="133"/>
      <c r="X13" s="133"/>
      <c r="Y13" s="133"/>
      <c r="Z13" s="133"/>
      <c r="AJ13" s="274"/>
      <c r="AK13" s="274"/>
      <c r="AL13" s="274"/>
      <c r="AM13" s="274"/>
      <c r="AN13" s="274"/>
    </row>
    <row r="14" spans="1:40">
      <c r="B14" s="238"/>
      <c r="D14" s="274"/>
      <c r="F14" s="133"/>
      <c r="G14" s="133"/>
      <c r="H14" s="133"/>
      <c r="I14" s="133"/>
      <c r="J14" s="133"/>
      <c r="K14" s="133"/>
      <c r="L14" s="277">
        <f t="shared" ref="L14:Q14" si="4">SUM(L12:L13)</f>
        <v>0</v>
      </c>
      <c r="M14" s="277">
        <f t="shared" si="4"/>
        <v>156.35332257778933</v>
      </c>
      <c r="N14" s="277">
        <f t="shared" si="4"/>
        <v>157.86085121043502</v>
      </c>
      <c r="O14" s="277">
        <f t="shared" si="4"/>
        <v>159.38291514389482</v>
      </c>
      <c r="P14" s="277">
        <f t="shared" si="4"/>
        <v>160.91965452475139</v>
      </c>
      <c r="Q14" s="277">
        <f t="shared" si="4"/>
        <v>162.47121085083765</v>
      </c>
      <c r="R14" s="656"/>
      <c r="S14" s="133"/>
      <c r="T14" s="133"/>
      <c r="U14" s="133"/>
      <c r="V14" s="133"/>
      <c r="W14" s="133"/>
      <c r="X14" s="133"/>
      <c r="Y14" s="133"/>
      <c r="Z14" s="133"/>
    </row>
    <row r="15" spans="1:40"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P15" s="133"/>
      <c r="Q15" s="133"/>
      <c r="R15" s="133"/>
      <c r="S15" s="133"/>
      <c r="V15" s="133"/>
      <c r="W15" s="133"/>
      <c r="X15" s="133"/>
      <c r="Y15" s="133"/>
      <c r="Z15" s="133"/>
      <c r="AJ15" s="274"/>
      <c r="AK15" s="274"/>
      <c r="AL15" s="274"/>
      <c r="AM15" s="274"/>
      <c r="AN15" s="274"/>
    </row>
    <row r="16" spans="1:40">
      <c r="B16" s="314" t="s">
        <v>858</v>
      </c>
      <c r="C16" s="315"/>
      <c r="D16" s="315"/>
      <c r="E16" s="316"/>
      <c r="F16" s="315"/>
      <c r="G16" s="317"/>
      <c r="H16" s="318"/>
      <c r="I16" s="318"/>
      <c r="J16" s="318"/>
      <c r="K16" s="318"/>
      <c r="L16" s="318"/>
      <c r="M16" s="318"/>
      <c r="N16" s="318"/>
      <c r="O16" s="318"/>
      <c r="P16" s="318"/>
      <c r="Q16" s="319"/>
      <c r="R16" s="133"/>
      <c r="S16" s="133"/>
      <c r="T16" s="133"/>
      <c r="U16" s="133"/>
      <c r="V16" s="133"/>
      <c r="W16" s="133"/>
      <c r="X16" s="133"/>
      <c r="Y16" s="133"/>
      <c r="Z16" s="133"/>
      <c r="AJ16" s="274"/>
      <c r="AK16" s="274"/>
      <c r="AL16" s="274"/>
      <c r="AM16" s="274"/>
      <c r="AN16" s="274"/>
    </row>
    <row r="17" spans="1:40">
      <c r="A17" s="275"/>
      <c r="B17" s="444" t="s">
        <v>737</v>
      </c>
      <c r="C17" s="437"/>
      <c r="D17" s="438"/>
      <c r="E17" s="439"/>
      <c r="F17" s="275"/>
      <c r="G17" s="275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133"/>
      <c r="S17" s="133"/>
      <c r="T17" s="133"/>
      <c r="U17" s="133"/>
      <c r="V17" s="133"/>
      <c r="W17" s="133"/>
      <c r="X17" s="133"/>
      <c r="Y17" s="133"/>
      <c r="Z17" s="133"/>
      <c r="AJ17" s="274"/>
      <c r="AK17" s="274"/>
      <c r="AL17" s="274"/>
      <c r="AM17" s="274"/>
      <c r="AN17" s="274"/>
    </row>
    <row r="18" spans="1:40">
      <c r="A18" s="435"/>
      <c r="B18" s="440" t="s">
        <v>859</v>
      </c>
      <c r="C18" s="329"/>
      <c r="D18" s="329"/>
      <c r="E18" s="329"/>
      <c r="F18" s="329"/>
      <c r="G18" s="329"/>
      <c r="H18" s="329"/>
      <c r="I18" s="213"/>
      <c r="J18" s="214"/>
      <c r="K18" s="214"/>
      <c r="L18" s="214"/>
      <c r="M18" s="214"/>
      <c r="N18" s="214"/>
      <c r="O18" s="214"/>
      <c r="P18" s="214"/>
      <c r="Q18" s="214"/>
      <c r="R18" s="133"/>
      <c r="S18" s="133"/>
      <c r="T18" s="133"/>
      <c r="U18" s="133"/>
      <c r="V18" s="133"/>
      <c r="W18" s="133"/>
      <c r="X18" s="133"/>
      <c r="Y18" s="133"/>
      <c r="Z18" s="133"/>
      <c r="AJ18" s="274"/>
      <c r="AK18" s="274"/>
      <c r="AL18" s="274"/>
      <c r="AM18" s="274"/>
      <c r="AN18" s="274"/>
    </row>
    <row r="19" spans="1:40" ht="43.5">
      <c r="A19" s="435"/>
      <c r="B19" s="281" t="s">
        <v>794</v>
      </c>
      <c r="C19" s="165" t="s">
        <v>860</v>
      </c>
      <c r="D19" s="339" t="s">
        <v>849</v>
      </c>
      <c r="E19" s="247" t="s">
        <v>691</v>
      </c>
      <c r="F19" s="247" t="s">
        <v>692</v>
      </c>
      <c r="G19" s="164" t="s">
        <v>822</v>
      </c>
      <c r="H19" s="164" t="s">
        <v>823</v>
      </c>
      <c r="I19" s="247" t="s">
        <v>824</v>
      </c>
      <c r="J19" s="443"/>
      <c r="K19" s="434" t="s">
        <v>861</v>
      </c>
      <c r="L19" s="339" t="s">
        <v>849</v>
      </c>
      <c r="M19" s="425" t="s">
        <v>691</v>
      </c>
      <c r="N19" s="425" t="s">
        <v>692</v>
      </c>
      <c r="O19" s="340" t="s">
        <v>822</v>
      </c>
      <c r="P19" s="340" t="s">
        <v>823</v>
      </c>
      <c r="Q19" s="425" t="s">
        <v>824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74"/>
      <c r="AK19" s="274"/>
      <c r="AL19" s="274"/>
      <c r="AM19" s="274"/>
      <c r="AN19" s="274"/>
    </row>
    <row r="20" spans="1:40">
      <c r="A20" s="435"/>
      <c r="B20" s="294" t="s">
        <v>957</v>
      </c>
      <c r="C20" s="149">
        <f>'Inputs and eligible population'!F69</f>
        <v>1</v>
      </c>
      <c r="D20" s="128">
        <f>'Financial impact (cash)'!D13*$C$20*'Inputs and eligible population'!$F$70/60</f>
        <v>0</v>
      </c>
      <c r="E20" s="128">
        <f>('Financial impact (cash)'!E15-'Financial impact (cash)'!D15)*'Capacity (local prices)'!$C$20*'Inputs and eligible population'!$F$70/60</f>
        <v>1291.322452740249</v>
      </c>
      <c r="F20" s="128">
        <f>('Financial impact (cash)'!F15-'Financial impact (cash)'!E15)*'Capacity (local prices)'!$C$20*'Inputs and eligible population'!$F$70/60</f>
        <v>1303.7731352034607</v>
      </c>
      <c r="G20" s="128">
        <f>('Financial impact (cash)'!G15-'Financial impact (cash)'!F15)*'Capacity (local prices)'!$C$20*'Inputs and eligible population'!$F$70/60</f>
        <v>1316.3438647497096</v>
      </c>
      <c r="H20" s="128">
        <f>('Financial impact (cash)'!H15-'Financial impact (cash)'!G15)*'Capacity (local prices)'!$C$20*'Inputs and eligible population'!$F$70/60</f>
        <v>1329.0357988499454</v>
      </c>
      <c r="I20" s="128">
        <f>('Financial impact (cash)'!I15-'Financial impact (cash)'!H15)*'Capacity (local prices)'!$C$20*'Inputs and eligible population'!$F$70/60</f>
        <v>1341.850106135098</v>
      </c>
      <c r="J20" s="443"/>
      <c r="K20" s="450">
        <f>'Inputs and eligible population'!K70</f>
        <v>121.08</v>
      </c>
      <c r="L20" s="452">
        <f>$K20/1000*D20</f>
        <v>0</v>
      </c>
      <c r="M20" s="452">
        <f t="shared" ref="M20:Q20" si="5">$K20/1000*E20</f>
        <v>156.35332257778933</v>
      </c>
      <c r="N20" s="452">
        <f t="shared" si="5"/>
        <v>157.86085121043502</v>
      </c>
      <c r="O20" s="452">
        <f t="shared" si="5"/>
        <v>159.38291514389482</v>
      </c>
      <c r="P20" s="452">
        <f t="shared" si="5"/>
        <v>160.91965452475139</v>
      </c>
      <c r="Q20" s="452">
        <f t="shared" si="5"/>
        <v>162.47121085083765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74"/>
      <c r="AK20" s="274"/>
      <c r="AL20" s="274"/>
      <c r="AM20" s="274"/>
      <c r="AN20" s="274"/>
    </row>
    <row r="21" spans="1:40">
      <c r="A21" s="435"/>
      <c r="B21" s="408"/>
      <c r="C21" s="617"/>
      <c r="D21" s="185">
        <f t="shared" ref="D21:I21" si="6">SUM(D20:D20)</f>
        <v>0</v>
      </c>
      <c r="E21" s="185">
        <f t="shared" si="6"/>
        <v>1291.322452740249</v>
      </c>
      <c r="F21" s="185">
        <f t="shared" si="6"/>
        <v>1303.7731352034607</v>
      </c>
      <c r="G21" s="185">
        <f t="shared" si="6"/>
        <v>1316.3438647497096</v>
      </c>
      <c r="H21" s="185">
        <f t="shared" si="6"/>
        <v>1329.0357988499454</v>
      </c>
      <c r="I21" s="185">
        <f t="shared" si="6"/>
        <v>1341.850106135098</v>
      </c>
      <c r="J21" s="443"/>
      <c r="K21" s="214"/>
      <c r="L21" s="277">
        <f t="shared" ref="L21:Q21" si="7">SUM(L20:L20)</f>
        <v>0</v>
      </c>
      <c r="M21" s="277">
        <f t="shared" si="7"/>
        <v>156.35332257778933</v>
      </c>
      <c r="N21" s="277">
        <f t="shared" si="7"/>
        <v>157.86085121043502</v>
      </c>
      <c r="O21" s="277">
        <f t="shared" si="7"/>
        <v>159.38291514389482</v>
      </c>
      <c r="P21" s="277">
        <f t="shared" si="7"/>
        <v>160.91965452475139</v>
      </c>
      <c r="Q21" s="277">
        <f t="shared" si="7"/>
        <v>162.47121085083765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74"/>
      <c r="AK21" s="274"/>
      <c r="AL21" s="274"/>
      <c r="AM21" s="274"/>
      <c r="AN21" s="274"/>
    </row>
    <row r="22" spans="1:40">
      <c r="A22" s="435"/>
      <c r="B22" s="248"/>
      <c r="C22" s="248"/>
      <c r="D22" s="273" t="s">
        <v>862</v>
      </c>
      <c r="E22" s="185">
        <f>E21-$D$21</f>
        <v>1291.322452740249</v>
      </c>
      <c r="F22" s="185">
        <f>F21-$D$21</f>
        <v>1303.7731352034607</v>
      </c>
      <c r="G22" s="185">
        <f>G21-$D$21</f>
        <v>1316.3438647497096</v>
      </c>
      <c r="H22" s="185">
        <f>H21-$D$21</f>
        <v>1329.0357988499454</v>
      </c>
      <c r="I22" s="185">
        <f>I21-$D$21</f>
        <v>1341.850106135098</v>
      </c>
      <c r="J22" s="443"/>
      <c r="K22" s="214"/>
      <c r="L22" s="214"/>
      <c r="M22" s="277">
        <f>M21-$L21</f>
        <v>156.35332257778933</v>
      </c>
      <c r="N22" s="277">
        <f t="shared" ref="N22:Q22" si="8">N21-$L21</f>
        <v>157.86085121043502</v>
      </c>
      <c r="O22" s="277">
        <f t="shared" si="8"/>
        <v>159.38291514389482</v>
      </c>
      <c r="P22" s="277">
        <f t="shared" si="8"/>
        <v>160.91965452475139</v>
      </c>
      <c r="Q22" s="277">
        <f t="shared" si="8"/>
        <v>162.47121085083765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74"/>
      <c r="AK22" s="274"/>
      <c r="AL22" s="274"/>
      <c r="AM22" s="274"/>
      <c r="AN22" s="274"/>
    </row>
    <row r="23" spans="1:40">
      <c r="A23" s="275"/>
      <c r="B23" s="436"/>
      <c r="C23" s="437"/>
      <c r="D23" s="438"/>
      <c r="E23" s="439"/>
      <c r="F23" s="275"/>
      <c r="G23" s="275"/>
      <c r="H23" s="275"/>
      <c r="I23" s="280"/>
      <c r="J23" s="214"/>
      <c r="K23" s="214"/>
      <c r="L23" s="214"/>
      <c r="M23" s="214"/>
      <c r="N23" s="214"/>
      <c r="O23" s="214"/>
      <c r="P23" s="214"/>
      <c r="Q23" s="214"/>
      <c r="R23" s="133"/>
      <c r="S23" s="133"/>
      <c r="T23" s="133"/>
      <c r="U23" s="133"/>
      <c r="V23" s="133"/>
      <c r="W23" s="133"/>
      <c r="X23" s="133"/>
      <c r="Y23" s="133"/>
      <c r="Z23" s="133"/>
      <c r="AJ23" s="274"/>
      <c r="AK23" s="274"/>
      <c r="AL23" s="274"/>
      <c r="AM23" s="274"/>
      <c r="AN23" s="274"/>
    </row>
    <row r="24" spans="1:40">
      <c r="A24" s="275"/>
      <c r="B24" s="328" t="s">
        <v>863</v>
      </c>
      <c r="C24" s="329"/>
      <c r="D24" s="329"/>
      <c r="E24" s="329"/>
      <c r="F24" s="329"/>
      <c r="G24" s="329"/>
      <c r="H24" s="329"/>
      <c r="I24" s="213"/>
      <c r="J24" s="214"/>
      <c r="K24" s="214"/>
      <c r="L24" s="214"/>
      <c r="M24" s="214"/>
      <c r="N24" s="214"/>
      <c r="O24" s="214"/>
      <c r="P24" s="214"/>
      <c r="Q24" s="214"/>
      <c r="R24" s="133"/>
      <c r="S24" s="133"/>
      <c r="T24" s="133"/>
      <c r="U24" s="133"/>
      <c r="V24" s="133"/>
      <c r="W24" s="133"/>
      <c r="X24" s="133"/>
      <c r="Y24" s="133"/>
      <c r="Z24" s="133"/>
      <c r="AJ24" s="274"/>
      <c r="AK24" s="274"/>
      <c r="AL24" s="274"/>
      <c r="AM24" s="274"/>
      <c r="AN24" s="274"/>
    </row>
    <row r="25" spans="1:40" ht="43.5">
      <c r="A25" s="275"/>
      <c r="B25" s="271" t="s">
        <v>794</v>
      </c>
      <c r="C25" s="165" t="s">
        <v>860</v>
      </c>
      <c r="D25" s="339" t="s">
        <v>849</v>
      </c>
      <c r="E25" s="247" t="s">
        <v>691</v>
      </c>
      <c r="F25" s="247" t="s">
        <v>692</v>
      </c>
      <c r="G25" s="164" t="s">
        <v>822</v>
      </c>
      <c r="H25" s="164" t="s">
        <v>823</v>
      </c>
      <c r="I25" s="247" t="s">
        <v>824</v>
      </c>
      <c r="J25" s="214"/>
      <c r="K25" s="434" t="s">
        <v>861</v>
      </c>
      <c r="L25" s="339" t="s">
        <v>849</v>
      </c>
      <c r="M25" s="425" t="s">
        <v>691</v>
      </c>
      <c r="N25" s="425" t="s">
        <v>692</v>
      </c>
      <c r="O25" s="340" t="s">
        <v>822</v>
      </c>
      <c r="P25" s="340" t="s">
        <v>823</v>
      </c>
      <c r="Q25" s="425" t="s">
        <v>824</v>
      </c>
      <c r="R25" s="133"/>
      <c r="S25" s="133"/>
      <c r="T25" s="133"/>
      <c r="U25" s="133"/>
      <c r="V25" s="133"/>
      <c r="W25" s="133"/>
      <c r="X25" s="133"/>
      <c r="Y25" s="133"/>
      <c r="Z25" s="133"/>
      <c r="AJ25" s="274"/>
      <c r="AK25" s="274"/>
      <c r="AL25" s="274"/>
      <c r="AM25" s="274"/>
      <c r="AN25" s="274"/>
    </row>
    <row r="26" spans="1:40">
      <c r="A26" s="275"/>
      <c r="B26" s="294" t="s">
        <v>958</v>
      </c>
      <c r="C26" s="149">
        <f>'Inputs and eligible population'!$F$71</f>
        <v>0</v>
      </c>
      <c r="D26" s="128">
        <f>'Financial impact (cash)'!D13*$C$26*'Inputs and eligible population'!$F$72/60</f>
        <v>0</v>
      </c>
      <c r="E26" s="128">
        <f>('Financial impact (cash)'!E15-'Financial impact (cash)'!D15)*'Capacity (local prices)'!$C$26*'Inputs and eligible population'!$F$72/60</f>
        <v>0</v>
      </c>
      <c r="F26" s="128">
        <f>('Financial impact (cash)'!F15-'Financial impact (cash)'!E15)*'Capacity (local prices)'!$C$26*'Inputs and eligible population'!$F$72/60</f>
        <v>0</v>
      </c>
      <c r="G26" s="128">
        <f>('Financial impact (cash)'!G15-'Financial impact (cash)'!F15)*'Capacity (local prices)'!$C$26*'Inputs and eligible population'!$F$72/60</f>
        <v>0</v>
      </c>
      <c r="H26" s="128">
        <f>('Financial impact (cash)'!H15-'Financial impact (cash)'!G15)*'Capacity (local prices)'!$C$26*'Inputs and eligible population'!$F$72/60</f>
        <v>0</v>
      </c>
      <c r="I26" s="128">
        <f>('Financial impact (cash)'!I15-'Financial impact (cash)'!H15)*'Capacity (local prices)'!$C$26*'Inputs and eligible population'!$F$72/60</f>
        <v>0</v>
      </c>
      <c r="J26" s="214"/>
      <c r="K26" s="450">
        <f>'Inputs and eligible population'!K72</f>
        <v>121.08</v>
      </c>
      <c r="L26" s="452">
        <f>$K26/1000*D26</f>
        <v>0</v>
      </c>
      <c r="M26" s="452">
        <f t="shared" ref="M26" si="9">$K26/1000*E26</f>
        <v>0</v>
      </c>
      <c r="N26" s="452">
        <f t="shared" ref="N26" si="10">$K26/1000*F26</f>
        <v>0</v>
      </c>
      <c r="O26" s="452">
        <f t="shared" ref="O26" si="11">$K26/1000*G26</f>
        <v>0</v>
      </c>
      <c r="P26" s="452">
        <f t="shared" ref="P26" si="12">$K26/1000*H26</f>
        <v>0</v>
      </c>
      <c r="Q26" s="452">
        <f t="shared" ref="Q26" si="13">$K26/1000*I26</f>
        <v>0</v>
      </c>
      <c r="R26" s="133"/>
      <c r="S26" s="133"/>
      <c r="T26" s="133"/>
      <c r="U26" s="133"/>
      <c r="V26" s="133"/>
      <c r="W26" s="133"/>
      <c r="X26" s="133"/>
      <c r="Y26" s="133"/>
      <c r="Z26" s="133"/>
      <c r="AJ26" s="274"/>
      <c r="AK26" s="274"/>
      <c r="AL26" s="274"/>
      <c r="AM26" s="274"/>
      <c r="AN26" s="274"/>
    </row>
    <row r="27" spans="1:40">
      <c r="A27" s="435"/>
      <c r="B27" s="408"/>
      <c r="C27" s="617"/>
      <c r="D27" s="185">
        <f t="shared" ref="D27:I27" si="14">SUM(D26:D26)</f>
        <v>0</v>
      </c>
      <c r="E27" s="185">
        <f t="shared" si="14"/>
        <v>0</v>
      </c>
      <c r="F27" s="185">
        <f t="shared" si="14"/>
        <v>0</v>
      </c>
      <c r="G27" s="185">
        <f t="shared" si="14"/>
        <v>0</v>
      </c>
      <c r="H27" s="185">
        <f t="shared" si="14"/>
        <v>0</v>
      </c>
      <c r="I27" s="185">
        <f t="shared" si="14"/>
        <v>0</v>
      </c>
      <c r="J27" s="443"/>
      <c r="K27" s="214"/>
      <c r="L27" s="277">
        <f t="shared" ref="L27:Q27" si="15">SUM(L26:L26)</f>
        <v>0</v>
      </c>
      <c r="M27" s="277">
        <f t="shared" si="15"/>
        <v>0</v>
      </c>
      <c r="N27" s="277">
        <f t="shared" si="15"/>
        <v>0</v>
      </c>
      <c r="O27" s="277">
        <f t="shared" si="15"/>
        <v>0</v>
      </c>
      <c r="P27" s="277">
        <f t="shared" si="15"/>
        <v>0</v>
      </c>
      <c r="Q27" s="277">
        <f t="shared" si="15"/>
        <v>0</v>
      </c>
      <c r="R27" s="133"/>
      <c r="S27" s="133"/>
      <c r="T27" s="133"/>
      <c r="U27" s="133"/>
      <c r="V27" s="133"/>
      <c r="W27" s="133"/>
      <c r="X27" s="133"/>
      <c r="Y27" s="133"/>
      <c r="Z27" s="133"/>
      <c r="AJ27" s="274"/>
      <c r="AK27" s="274"/>
      <c r="AL27" s="274"/>
      <c r="AM27" s="274"/>
      <c r="AN27" s="274"/>
    </row>
    <row r="28" spans="1:40">
      <c r="A28" s="435"/>
      <c r="B28" s="248"/>
      <c r="C28" s="248"/>
      <c r="D28" s="273" t="s">
        <v>862</v>
      </c>
      <c r="E28" s="185">
        <f>E27-$D$27</f>
        <v>0</v>
      </c>
      <c r="F28" s="185">
        <f t="shared" ref="F28:I28" si="16">F27-$D$27</f>
        <v>0</v>
      </c>
      <c r="G28" s="185">
        <f t="shared" si="16"/>
        <v>0</v>
      </c>
      <c r="H28" s="185">
        <f t="shared" si="16"/>
        <v>0</v>
      </c>
      <c r="I28" s="185">
        <f t="shared" si="16"/>
        <v>0</v>
      </c>
      <c r="J28" s="443"/>
      <c r="K28" s="214"/>
      <c r="L28" s="214"/>
      <c r="M28" s="277">
        <f>M27-$L27</f>
        <v>0</v>
      </c>
      <c r="N28" s="277">
        <f t="shared" ref="N28:Q28" si="17">N27-$L27</f>
        <v>0</v>
      </c>
      <c r="O28" s="277">
        <f t="shared" si="17"/>
        <v>0</v>
      </c>
      <c r="P28" s="277">
        <f t="shared" si="17"/>
        <v>0</v>
      </c>
      <c r="Q28" s="277">
        <f t="shared" si="17"/>
        <v>0</v>
      </c>
      <c r="R28" s="133"/>
      <c r="S28" s="133"/>
      <c r="T28" s="133"/>
      <c r="U28" s="133"/>
      <c r="V28" s="133"/>
      <c r="W28" s="133"/>
      <c r="X28" s="133"/>
      <c r="Y28" s="133"/>
      <c r="Z28" s="133"/>
      <c r="AJ28" s="274"/>
      <c r="AK28" s="274"/>
      <c r="AL28" s="274"/>
      <c r="AM28" s="274"/>
      <c r="AN28" s="274"/>
    </row>
    <row r="29" spans="1:40">
      <c r="A29" s="275"/>
      <c r="B29" s="436"/>
      <c r="C29" s="437"/>
      <c r="D29" s="438"/>
      <c r="E29" s="439"/>
      <c r="F29" s="275"/>
      <c r="G29" s="275"/>
      <c r="H29" s="275"/>
      <c r="I29" s="275"/>
      <c r="J29" s="214"/>
      <c r="K29" s="214"/>
      <c r="L29" s="214"/>
      <c r="M29" s="214"/>
      <c r="N29" s="214"/>
      <c r="O29" s="214"/>
      <c r="P29" s="214"/>
      <c r="Q29" s="214"/>
      <c r="R29" s="133"/>
      <c r="S29" s="133"/>
      <c r="T29" s="133"/>
      <c r="U29" s="133"/>
      <c r="V29" s="133"/>
      <c r="W29" s="133"/>
      <c r="X29" s="133"/>
      <c r="Y29" s="133"/>
      <c r="Z29" s="133"/>
      <c r="AJ29" s="274"/>
      <c r="AK29" s="274"/>
      <c r="AL29" s="274"/>
      <c r="AM29" s="274"/>
      <c r="AN29" s="274"/>
    </row>
  </sheetData>
  <sheetProtection algorithmName="SHA-512" hashValue="NdqtvRIMv6DcwaV9DYtSodAnN/b+6po/IFCBJcZjPRPcYC6qjMHO4FxwKgWRR3MJKlFNod4q4ct0dwpEO82x2Q==" saltValue="1tGKdEUciaePaWPtnfLuf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32"/>
  <sheetViews>
    <sheetView showGridLines="0" zoomScale="80" zoomScaleNormal="80" zoomScaleSheetLayoutView="30" workbookViewId="0">
      <selection activeCell="C31" sqref="C31"/>
    </sheetView>
  </sheetViews>
  <sheetFormatPr defaultColWidth="8.7265625" defaultRowHeight="14.5"/>
  <cols>
    <col min="1" max="1" width="3.54296875" customWidth="1"/>
    <col min="2" max="2" width="56.54296875" style="1" customWidth="1"/>
    <col min="3" max="9" width="12.54296875" customWidth="1"/>
    <col min="10" max="10" width="1.7265625" customWidth="1"/>
    <col min="11" max="18" width="11.54296875" customWidth="1"/>
    <col min="19" max="19" width="11.453125" customWidth="1"/>
    <col min="20" max="20" width="11.54296875" customWidth="1"/>
    <col min="21" max="26" width="10.7265625" customWidth="1"/>
    <col min="28" max="41" width="0" hidden="1" customWidth="1"/>
  </cols>
  <sheetData>
    <row r="1" spans="1:40" ht="30" customHeight="1">
      <c r="B1" s="431" t="str">
        <f>'Inputs and eligible population'!B1</f>
        <v>Vibegron for the symptoms of overactive bladder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5" customHeight="1">
      <c r="B2" s="212" t="s">
        <v>864</v>
      </c>
      <c r="C2" s="127" t="s">
        <v>758</v>
      </c>
      <c r="D2" s="127" t="s">
        <v>758</v>
      </c>
      <c r="E2" s="127" t="s">
        <v>758</v>
      </c>
      <c r="F2" s="127" t="s">
        <v>758</v>
      </c>
      <c r="G2" s="127" t="s">
        <v>758</v>
      </c>
      <c r="H2" s="127" t="s">
        <v>758</v>
      </c>
      <c r="I2" s="127" t="s">
        <v>758</v>
      </c>
      <c r="J2" s="127" t="s">
        <v>758</v>
      </c>
      <c r="K2" s="127"/>
      <c r="L2" s="127" t="s">
        <v>758</v>
      </c>
      <c r="M2" s="127" t="s">
        <v>758</v>
      </c>
      <c r="N2" s="127" t="s">
        <v>758</v>
      </c>
      <c r="O2" s="127" t="s">
        <v>758</v>
      </c>
      <c r="P2" s="127" t="s">
        <v>758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65" customHeight="1">
      <c r="B3" s="130" t="s">
        <v>758</v>
      </c>
      <c r="C3" s="133" t="s">
        <v>758</v>
      </c>
      <c r="D3" s="133" t="s">
        <v>758</v>
      </c>
      <c r="E3" s="133" t="s">
        <v>758</v>
      </c>
      <c r="F3" s="133" t="s">
        <v>758</v>
      </c>
      <c r="G3" s="133" t="s">
        <v>758</v>
      </c>
      <c r="H3" s="133" t="s">
        <v>758</v>
      </c>
      <c r="I3" s="133" t="s">
        <v>758</v>
      </c>
      <c r="J3" s="133" t="s">
        <v>758</v>
      </c>
      <c r="K3" s="133"/>
      <c r="L3" s="133" t="s">
        <v>758</v>
      </c>
      <c r="M3" s="133" t="s">
        <v>758</v>
      </c>
      <c r="N3" s="133" t="s">
        <v>758</v>
      </c>
      <c r="O3" s="133" t="s">
        <v>758</v>
      </c>
      <c r="P3" s="133" t="s">
        <v>758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65" customHeight="1">
      <c r="B4" t="s">
        <v>856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65" customHeight="1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3.5">
      <c r="B6" s="249" t="s">
        <v>825</v>
      </c>
      <c r="C6" s="207"/>
      <c r="D6" s="339" t="s">
        <v>849</v>
      </c>
      <c r="E6" s="247" t="s">
        <v>691</v>
      </c>
      <c r="F6" s="247" t="s">
        <v>692</v>
      </c>
      <c r="G6" s="164" t="s">
        <v>822</v>
      </c>
      <c r="H6" s="164" t="s">
        <v>823</v>
      </c>
      <c r="I6" s="247" t="s">
        <v>824</v>
      </c>
      <c r="L6" s="339" t="s">
        <v>849</v>
      </c>
      <c r="M6" s="247" t="s">
        <v>691</v>
      </c>
      <c r="N6" s="247" t="s">
        <v>692</v>
      </c>
      <c r="O6" s="164" t="s">
        <v>822</v>
      </c>
      <c r="P6" s="164" t="s">
        <v>823</v>
      </c>
      <c r="Q6" s="247" t="s">
        <v>824</v>
      </c>
      <c r="R6" s="133"/>
      <c r="S6" s="127"/>
      <c r="T6" s="127"/>
      <c r="U6" s="127"/>
      <c r="V6" s="127"/>
      <c r="W6" s="127"/>
      <c r="X6" s="127"/>
      <c r="Y6" s="133"/>
      <c r="Z6" s="133"/>
      <c r="AJ6" s="274"/>
      <c r="AK6" s="274"/>
      <c r="AL6" s="274"/>
      <c r="AM6" s="274"/>
      <c r="AN6" s="274"/>
    </row>
    <row r="7" spans="1:40" ht="14.65" customHeight="1">
      <c r="B7" s="216" t="s">
        <v>825</v>
      </c>
      <c r="C7" s="167"/>
      <c r="D7" s="322">
        <f>'Inputs and eligible population'!F39</f>
        <v>267859</v>
      </c>
      <c r="E7" s="322">
        <f>'Inputs and eligible population'!G39</f>
        <v>270441.6449054805</v>
      </c>
      <c r="F7" s="322">
        <f>'Inputs and eligible population'!H39</f>
        <v>273049.19117588742</v>
      </c>
      <c r="G7" s="322">
        <f>'Inputs and eligible population'!I39</f>
        <v>275681.87890538684</v>
      </c>
      <c r="H7" s="322">
        <f>'Inputs and eligible population'!J39</f>
        <v>278339.95050308673</v>
      </c>
      <c r="I7" s="322">
        <f>'Inputs and eligible population'!K39</f>
        <v>281023.65071535693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74"/>
      <c r="AK7" s="274"/>
      <c r="AL7" s="274"/>
      <c r="AM7" s="274"/>
      <c r="AN7" s="274"/>
    </row>
    <row r="8" spans="1:40" ht="14.65" customHeight="1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74"/>
      <c r="AK8" s="274"/>
      <c r="AL8" s="274"/>
      <c r="AM8" s="274"/>
      <c r="AN8" s="274"/>
    </row>
    <row r="9" spans="1:40" ht="14.65" customHeight="1">
      <c r="B9" s="268" t="s">
        <v>857</v>
      </c>
      <c r="C9" s="342"/>
      <c r="D9" s="342"/>
      <c r="E9" s="343"/>
      <c r="F9" s="342"/>
      <c r="G9" s="344"/>
      <c r="H9" s="345"/>
      <c r="I9" s="345"/>
      <c r="J9" s="459"/>
      <c r="K9" s="458"/>
      <c r="L9" s="589" t="s">
        <v>830</v>
      </c>
      <c r="M9" s="589" t="s">
        <v>830</v>
      </c>
      <c r="N9" s="589" t="s">
        <v>830</v>
      </c>
      <c r="O9" s="589" t="s">
        <v>830</v>
      </c>
      <c r="P9" s="589" t="s">
        <v>830</v>
      </c>
      <c r="Q9" s="589" t="s">
        <v>830</v>
      </c>
      <c r="R9" s="133"/>
      <c r="S9" s="127"/>
      <c r="T9" s="127"/>
      <c r="U9" s="127"/>
      <c r="V9" s="127"/>
      <c r="W9" s="127"/>
      <c r="X9" s="127"/>
      <c r="Y9" s="133"/>
      <c r="Z9" s="133"/>
      <c r="AJ9" s="274"/>
      <c r="AK9" s="274"/>
      <c r="AL9" s="274"/>
      <c r="AM9" s="274"/>
      <c r="AN9" s="274"/>
    </row>
    <row r="10" spans="1:40" ht="14.65" customHeight="1">
      <c r="A10" s="275"/>
      <c r="B10" s="346" t="str">
        <f>B16</f>
        <v>First attendances - number of appointments</v>
      </c>
      <c r="C10" s="327"/>
      <c r="D10" s="341">
        <f>D19</f>
        <v>0</v>
      </c>
      <c r="E10" s="341">
        <f t="shared" ref="E10:I10" si="0">E19</f>
        <v>2582.644905480498</v>
      </c>
      <c r="F10" s="341">
        <f t="shared" si="0"/>
        <v>2607.5462704069214</v>
      </c>
      <c r="G10" s="341">
        <f t="shared" si="0"/>
        <v>2632.6877294994192</v>
      </c>
      <c r="H10" s="341">
        <f t="shared" si="0"/>
        <v>2658.0715976998908</v>
      </c>
      <c r="I10" s="341">
        <f t="shared" si="0"/>
        <v>2683.7002122701961</v>
      </c>
      <c r="L10" s="276">
        <f>L19</f>
        <v>0</v>
      </c>
      <c r="M10" s="276">
        <f t="shared" ref="M10:Q10" si="1">M19</f>
        <v>400.30996034947719</v>
      </c>
      <c r="N10" s="276">
        <f t="shared" si="1"/>
        <v>404.16967191307282</v>
      </c>
      <c r="O10" s="276">
        <f t="shared" si="1"/>
        <v>408.06659807240999</v>
      </c>
      <c r="P10" s="276">
        <f t="shared" si="1"/>
        <v>412.00109764348309</v>
      </c>
      <c r="Q10" s="276">
        <f t="shared" si="1"/>
        <v>415.97353290188039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274"/>
      <c r="AK10" s="274"/>
      <c r="AL10" s="274"/>
      <c r="AM10" s="274"/>
      <c r="AN10" s="274"/>
    </row>
    <row r="11" spans="1:40" ht="14.65" customHeight="1">
      <c r="A11" s="275"/>
      <c r="B11" s="346" t="str">
        <f>B22</f>
        <v>Follow up attendances - number of appointments</v>
      </c>
      <c r="C11" s="327"/>
      <c r="D11" s="341">
        <f>D25</f>
        <v>0</v>
      </c>
      <c r="E11" s="341">
        <f t="shared" ref="E11:I11" si="2">E25</f>
        <v>0</v>
      </c>
      <c r="F11" s="341">
        <f t="shared" si="2"/>
        <v>0</v>
      </c>
      <c r="G11" s="341">
        <f t="shared" si="2"/>
        <v>0</v>
      </c>
      <c r="H11" s="341">
        <f t="shared" si="2"/>
        <v>0</v>
      </c>
      <c r="I11" s="341">
        <f t="shared" si="2"/>
        <v>0</v>
      </c>
      <c r="L11" s="276">
        <f>L25</f>
        <v>0</v>
      </c>
      <c r="M11" s="276">
        <f t="shared" ref="M11:Q11" si="3">M25</f>
        <v>0</v>
      </c>
      <c r="N11" s="276">
        <f t="shared" si="3"/>
        <v>0</v>
      </c>
      <c r="O11" s="276">
        <f t="shared" si="3"/>
        <v>0</v>
      </c>
      <c r="P11" s="276">
        <f t="shared" si="3"/>
        <v>0</v>
      </c>
      <c r="Q11" s="276">
        <f t="shared" si="3"/>
        <v>0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74"/>
      <c r="AK11" s="274"/>
      <c r="AL11" s="274"/>
      <c r="AM11" s="274"/>
      <c r="AN11" s="274"/>
    </row>
    <row r="12" spans="1:40" ht="14.65" customHeight="1">
      <c r="B12" s="238"/>
      <c r="D12" s="274"/>
      <c r="F12" s="133"/>
      <c r="G12" s="133"/>
      <c r="H12" s="133"/>
      <c r="I12" s="133"/>
      <c r="J12" s="133"/>
      <c r="K12" s="133"/>
      <c r="L12" s="277">
        <f t="shared" ref="L12:Q12" si="4">SUM(L10:L11)</f>
        <v>0</v>
      </c>
      <c r="M12" s="277">
        <f t="shared" si="4"/>
        <v>400.30996034947719</v>
      </c>
      <c r="N12" s="277">
        <f t="shared" si="4"/>
        <v>404.16967191307282</v>
      </c>
      <c r="O12" s="277">
        <f t="shared" si="4"/>
        <v>408.06659807240999</v>
      </c>
      <c r="P12" s="277">
        <f t="shared" si="4"/>
        <v>412.00109764348309</v>
      </c>
      <c r="Q12" s="277">
        <f t="shared" si="4"/>
        <v>415.97353290188039</v>
      </c>
      <c r="R12" s="656"/>
      <c r="S12" s="133"/>
      <c r="T12" s="133"/>
      <c r="U12" s="133"/>
      <c r="V12" s="133"/>
      <c r="W12" s="133"/>
      <c r="X12" s="133"/>
      <c r="Y12" s="133"/>
      <c r="Z12" s="133"/>
    </row>
    <row r="13" spans="1:40"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P13" s="133"/>
      <c r="Q13" s="133"/>
      <c r="R13" s="133"/>
      <c r="S13" s="133"/>
      <c r="V13" s="133"/>
      <c r="W13" s="133"/>
      <c r="X13" s="133"/>
      <c r="Y13" s="133"/>
      <c r="Z13" s="133"/>
      <c r="AJ13" s="274"/>
      <c r="AK13" s="274"/>
      <c r="AL13" s="274"/>
      <c r="AM13" s="274"/>
      <c r="AN13" s="274"/>
    </row>
    <row r="14" spans="1:40">
      <c r="B14" s="314" t="s">
        <v>858</v>
      </c>
      <c r="C14" s="315"/>
      <c r="D14" s="315"/>
      <c r="E14" s="316"/>
      <c r="F14" s="315"/>
      <c r="G14" s="317"/>
      <c r="H14" s="318"/>
      <c r="I14" s="318"/>
      <c r="J14" s="318"/>
      <c r="K14" s="318"/>
      <c r="L14" s="318"/>
      <c r="M14" s="318"/>
      <c r="N14" s="318"/>
      <c r="O14" s="318"/>
      <c r="P14" s="318"/>
      <c r="Q14" s="319"/>
      <c r="R14" s="133"/>
      <c r="S14" s="133"/>
      <c r="T14" s="133"/>
      <c r="U14" s="133"/>
      <c r="V14" s="133"/>
      <c r="W14" s="133"/>
      <c r="X14" s="133"/>
      <c r="Y14" s="133"/>
      <c r="Z14" s="133"/>
      <c r="AJ14" s="274"/>
      <c r="AK14" s="274"/>
      <c r="AL14" s="274"/>
      <c r="AM14" s="274"/>
      <c r="AN14" s="274"/>
    </row>
    <row r="15" spans="1:40">
      <c r="A15" s="275"/>
      <c r="B15" s="444" t="s">
        <v>737</v>
      </c>
      <c r="C15" s="437"/>
      <c r="D15" s="438"/>
      <c r="E15" s="439"/>
      <c r="F15" s="275"/>
      <c r="G15" s="275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133"/>
      <c r="S15" s="133"/>
      <c r="T15" s="133"/>
      <c r="U15" s="133"/>
      <c r="V15" s="133"/>
      <c r="W15" s="133"/>
      <c r="X15" s="133"/>
      <c r="Y15" s="133"/>
      <c r="Z15" s="133"/>
      <c r="AJ15" s="274"/>
      <c r="AK15" s="274"/>
      <c r="AL15" s="274"/>
      <c r="AM15" s="274"/>
      <c r="AN15" s="274"/>
    </row>
    <row r="16" spans="1:40">
      <c r="A16" s="435"/>
      <c r="B16" s="440" t="s">
        <v>865</v>
      </c>
      <c r="C16" s="329"/>
      <c r="D16" s="329"/>
      <c r="E16" s="329"/>
      <c r="F16" s="329"/>
      <c r="G16" s="329"/>
      <c r="H16" s="329"/>
      <c r="I16" s="213"/>
      <c r="J16" s="214"/>
      <c r="K16" s="214"/>
      <c r="L16" s="214"/>
      <c r="M16" s="214"/>
      <c r="N16" s="214"/>
      <c r="O16" s="214"/>
      <c r="P16" s="214"/>
      <c r="Q16" s="214"/>
      <c r="R16" s="133"/>
      <c r="S16" s="133"/>
      <c r="T16" s="133"/>
      <c r="U16" s="133"/>
      <c r="V16" s="133"/>
      <c r="W16" s="133"/>
      <c r="X16" s="133"/>
      <c r="Y16" s="133"/>
      <c r="Z16" s="133"/>
      <c r="AJ16" s="274"/>
      <c r="AK16" s="274"/>
      <c r="AL16" s="274"/>
      <c r="AM16" s="274"/>
      <c r="AN16" s="274"/>
    </row>
    <row r="17" spans="1:40" ht="43.5">
      <c r="A17" s="435"/>
      <c r="B17" s="281" t="s">
        <v>794</v>
      </c>
      <c r="C17" s="165" t="s">
        <v>860</v>
      </c>
      <c r="D17" s="339" t="s">
        <v>849</v>
      </c>
      <c r="E17" s="247" t="s">
        <v>691</v>
      </c>
      <c r="F17" s="247" t="s">
        <v>692</v>
      </c>
      <c r="G17" s="164" t="s">
        <v>822</v>
      </c>
      <c r="H17" s="164" t="s">
        <v>823</v>
      </c>
      <c r="I17" s="247" t="s">
        <v>824</v>
      </c>
      <c r="J17" s="443"/>
      <c r="K17" s="434" t="s">
        <v>866</v>
      </c>
      <c r="L17" s="339" t="s">
        <v>849</v>
      </c>
      <c r="M17" s="425" t="s">
        <v>691</v>
      </c>
      <c r="N17" s="425" t="s">
        <v>692</v>
      </c>
      <c r="O17" s="340" t="s">
        <v>822</v>
      </c>
      <c r="P17" s="340" t="s">
        <v>823</v>
      </c>
      <c r="Q17" s="425" t="s">
        <v>824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74"/>
      <c r="AK17" s="274"/>
      <c r="AL17" s="274"/>
      <c r="AM17" s="274"/>
      <c r="AN17" s="274"/>
    </row>
    <row r="18" spans="1:40">
      <c r="A18" s="435"/>
      <c r="B18" s="294" t="s">
        <v>957</v>
      </c>
      <c r="C18" s="149">
        <f>'Inputs and eligible population'!F69</f>
        <v>1</v>
      </c>
      <c r="D18" s="128">
        <f>'Financial impact (cash)'!D13*$C$18</f>
        <v>0</v>
      </c>
      <c r="E18" s="128">
        <f>('Financial impact (cash)'!E15-'Financial impact (cash)'!D15)*'Capacity (national prices)'!$C$18</f>
        <v>2582.644905480498</v>
      </c>
      <c r="F18" s="128">
        <f>('Financial impact (cash)'!F15-'Financial impact (cash)'!E15)*'Capacity (national prices)'!$C$18</f>
        <v>2607.5462704069214</v>
      </c>
      <c r="G18" s="128">
        <f>('Financial impact (cash)'!G15-'Financial impact (cash)'!F15)*'Capacity (national prices)'!$C$18</f>
        <v>2632.6877294994192</v>
      </c>
      <c r="H18" s="128">
        <f>('Financial impact (cash)'!H15-'Financial impact (cash)'!G15)*'Capacity (national prices)'!$C$18</f>
        <v>2658.0715976998908</v>
      </c>
      <c r="I18" s="128">
        <f>('Financial impact (cash)'!I15-'Financial impact (cash)'!H15)*'Capacity (national prices)'!$C$18</f>
        <v>2683.7002122701961</v>
      </c>
      <c r="J18" s="443"/>
      <c r="K18" s="450">
        <f>'Unit costs'!N27</f>
        <v>155</v>
      </c>
      <c r="L18" s="276">
        <f>(D18*$K$18)/1000</f>
        <v>0</v>
      </c>
      <c r="M18" s="276">
        <f t="shared" ref="M18:Q18" si="5">(E18*$K$18)/1000</f>
        <v>400.30996034947719</v>
      </c>
      <c r="N18" s="276">
        <f t="shared" si="5"/>
        <v>404.16967191307282</v>
      </c>
      <c r="O18" s="276">
        <f t="shared" si="5"/>
        <v>408.06659807240999</v>
      </c>
      <c r="P18" s="276">
        <f t="shared" si="5"/>
        <v>412.00109764348309</v>
      </c>
      <c r="Q18" s="276">
        <f t="shared" si="5"/>
        <v>415.97353290188039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74"/>
      <c r="AK18" s="274"/>
      <c r="AL18" s="274"/>
      <c r="AM18" s="274"/>
      <c r="AN18" s="274"/>
    </row>
    <row r="19" spans="1:40">
      <c r="A19" s="435"/>
      <c r="B19" s="408"/>
      <c r="C19" s="617"/>
      <c r="D19" s="185">
        <f t="shared" ref="D19:I19" si="6">SUM(D18:D18)</f>
        <v>0</v>
      </c>
      <c r="E19" s="185">
        <f t="shared" si="6"/>
        <v>2582.644905480498</v>
      </c>
      <c r="F19" s="185">
        <f t="shared" si="6"/>
        <v>2607.5462704069214</v>
      </c>
      <c r="G19" s="185">
        <f t="shared" si="6"/>
        <v>2632.6877294994192</v>
      </c>
      <c r="H19" s="185">
        <f t="shared" si="6"/>
        <v>2658.0715976998908</v>
      </c>
      <c r="I19" s="185">
        <f t="shared" si="6"/>
        <v>2683.7002122701961</v>
      </c>
      <c r="J19" s="443"/>
      <c r="K19" s="214"/>
      <c r="L19" s="277">
        <f t="shared" ref="L19:Q19" si="7">SUM(L18:L18)</f>
        <v>0</v>
      </c>
      <c r="M19" s="277">
        <f t="shared" si="7"/>
        <v>400.30996034947719</v>
      </c>
      <c r="N19" s="277">
        <f t="shared" si="7"/>
        <v>404.16967191307282</v>
      </c>
      <c r="O19" s="277">
        <f t="shared" si="7"/>
        <v>408.06659807240999</v>
      </c>
      <c r="P19" s="277">
        <f t="shared" si="7"/>
        <v>412.00109764348309</v>
      </c>
      <c r="Q19" s="277">
        <f t="shared" si="7"/>
        <v>415.97353290188039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74"/>
      <c r="AK19" s="274"/>
      <c r="AL19" s="274"/>
      <c r="AM19" s="274"/>
      <c r="AN19" s="274"/>
    </row>
    <row r="20" spans="1:40">
      <c r="A20" s="435"/>
      <c r="B20" s="248"/>
      <c r="C20" s="248"/>
      <c r="D20" s="273" t="s">
        <v>862</v>
      </c>
      <c r="E20" s="185">
        <f>E19-$D$19</f>
        <v>2582.644905480498</v>
      </c>
      <c r="F20" s="185">
        <f>F19-$D$19</f>
        <v>2607.5462704069214</v>
      </c>
      <c r="G20" s="185">
        <f>G19-$D$19</f>
        <v>2632.6877294994192</v>
      </c>
      <c r="H20" s="185">
        <f>H19-$D$19</f>
        <v>2658.0715976998908</v>
      </c>
      <c r="I20" s="185">
        <f>I19-$D$19</f>
        <v>2683.7002122701961</v>
      </c>
      <c r="J20" s="443"/>
      <c r="K20" s="214"/>
      <c r="L20" s="214"/>
      <c r="M20" s="277">
        <f>M19-$L19</f>
        <v>400.30996034947719</v>
      </c>
      <c r="N20" s="277">
        <f t="shared" ref="N20:Q20" si="8">N19-$L19</f>
        <v>404.16967191307282</v>
      </c>
      <c r="O20" s="277">
        <f t="shared" si="8"/>
        <v>408.06659807240999</v>
      </c>
      <c r="P20" s="277">
        <f t="shared" si="8"/>
        <v>412.00109764348309</v>
      </c>
      <c r="Q20" s="277">
        <f t="shared" si="8"/>
        <v>415.97353290188039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74"/>
      <c r="AK20" s="274"/>
      <c r="AL20" s="274"/>
      <c r="AM20" s="274"/>
      <c r="AN20" s="274"/>
    </row>
    <row r="21" spans="1:40">
      <c r="A21" s="275"/>
      <c r="B21" s="436"/>
      <c r="C21" s="437"/>
      <c r="D21" s="438"/>
      <c r="E21" s="439"/>
      <c r="F21" s="275"/>
      <c r="G21" s="275"/>
      <c r="H21" s="275"/>
      <c r="I21" s="280"/>
      <c r="J21" s="214"/>
      <c r="K21" s="214"/>
      <c r="L21" s="214"/>
      <c r="M21" s="214"/>
      <c r="N21" s="214"/>
      <c r="O21" s="214"/>
      <c r="P21" s="214"/>
      <c r="Q21" s="214"/>
      <c r="R21" s="133"/>
      <c r="S21" s="133"/>
      <c r="T21" s="133"/>
      <c r="U21" s="133"/>
      <c r="V21" s="133"/>
      <c r="W21" s="133"/>
      <c r="X21" s="133"/>
      <c r="Y21" s="133"/>
      <c r="Z21" s="133"/>
      <c r="AJ21" s="274"/>
      <c r="AK21" s="274"/>
      <c r="AL21" s="274"/>
      <c r="AM21" s="274"/>
      <c r="AN21" s="274"/>
    </row>
    <row r="22" spans="1:40">
      <c r="A22" s="275"/>
      <c r="B22" s="328" t="s">
        <v>867</v>
      </c>
      <c r="C22" s="329"/>
      <c r="D22" s="329"/>
      <c r="E22" s="329"/>
      <c r="F22" s="329"/>
      <c r="G22" s="329"/>
      <c r="H22" s="329"/>
      <c r="I22" s="213"/>
      <c r="J22" s="214"/>
      <c r="K22" s="214"/>
      <c r="L22" s="214"/>
      <c r="M22" s="214"/>
      <c r="N22" s="214"/>
      <c r="O22" s="214"/>
      <c r="P22" s="214"/>
      <c r="Q22" s="214"/>
      <c r="R22" s="133"/>
      <c r="S22" s="133"/>
      <c r="T22" s="133"/>
      <c r="U22" s="133"/>
      <c r="V22" s="133"/>
      <c r="W22" s="133"/>
      <c r="X22" s="133"/>
      <c r="Y22" s="133"/>
      <c r="Z22" s="133"/>
      <c r="AJ22" s="274"/>
      <c r="AK22" s="274"/>
      <c r="AL22" s="274"/>
      <c r="AM22" s="274"/>
      <c r="AN22" s="274"/>
    </row>
    <row r="23" spans="1:40" ht="43.5">
      <c r="A23" s="275"/>
      <c r="B23" s="268" t="s">
        <v>794</v>
      </c>
      <c r="C23" s="165" t="s">
        <v>860</v>
      </c>
      <c r="D23" s="339" t="s">
        <v>849</v>
      </c>
      <c r="E23" s="247" t="s">
        <v>691</v>
      </c>
      <c r="F23" s="247" t="s">
        <v>692</v>
      </c>
      <c r="G23" s="164" t="s">
        <v>822</v>
      </c>
      <c r="H23" s="164" t="s">
        <v>823</v>
      </c>
      <c r="I23" s="247" t="s">
        <v>824</v>
      </c>
      <c r="J23" s="214"/>
      <c r="K23" s="434" t="s">
        <v>866</v>
      </c>
      <c r="L23" s="339" t="s">
        <v>849</v>
      </c>
      <c r="M23" s="425" t="s">
        <v>691</v>
      </c>
      <c r="N23" s="425" t="s">
        <v>692</v>
      </c>
      <c r="O23" s="340" t="s">
        <v>822</v>
      </c>
      <c r="P23" s="340" t="s">
        <v>823</v>
      </c>
      <c r="Q23" s="425" t="s">
        <v>824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74"/>
      <c r="AK23" s="274"/>
      <c r="AL23" s="274"/>
      <c r="AM23" s="274"/>
      <c r="AN23" s="274"/>
    </row>
    <row r="24" spans="1:40">
      <c r="A24" s="275"/>
      <c r="B24" s="294" t="s">
        <v>957</v>
      </c>
      <c r="C24" s="149">
        <f>'Inputs and eligible population'!F71</f>
        <v>0</v>
      </c>
      <c r="D24" s="128">
        <f>'Financial impact (cash)'!D13*$C$24</f>
        <v>0</v>
      </c>
      <c r="E24" s="128">
        <f>('Financial impact (cash)'!E15-'Financial impact (cash)'!D15)*'Capacity (national prices)'!$C$24</f>
        <v>0</v>
      </c>
      <c r="F24" s="128">
        <f>('Financial impact (cash)'!F15-'Financial impact (cash)'!E15)*'Capacity (national prices)'!$C$24</f>
        <v>0</v>
      </c>
      <c r="G24" s="128">
        <f>('Financial impact (cash)'!G15-'Financial impact (cash)'!F15)*'Capacity (national prices)'!$C$24</f>
        <v>0</v>
      </c>
      <c r="H24" s="128">
        <f>('Financial impact (cash)'!H15-'Financial impact (cash)'!G15)*'Capacity (national prices)'!$C$24</f>
        <v>0</v>
      </c>
      <c r="I24" s="128">
        <f>('Financial impact (cash)'!I15-'Financial impact (cash)'!H15)*'Capacity (national prices)'!$C$24</f>
        <v>0</v>
      </c>
      <c r="J24" s="214"/>
      <c r="K24" s="450">
        <f>'Unit costs'!N28</f>
        <v>76</v>
      </c>
      <c r="L24" s="276">
        <f>(D24*$K$24)/1000</f>
        <v>0</v>
      </c>
      <c r="M24" s="276">
        <f t="shared" ref="M24:Q24" si="9">(E24*$K$24)/1000</f>
        <v>0</v>
      </c>
      <c r="N24" s="276">
        <f t="shared" si="9"/>
        <v>0</v>
      </c>
      <c r="O24" s="276">
        <f t="shared" si="9"/>
        <v>0</v>
      </c>
      <c r="P24" s="276">
        <f t="shared" si="9"/>
        <v>0</v>
      </c>
      <c r="Q24" s="276">
        <f t="shared" si="9"/>
        <v>0</v>
      </c>
      <c r="R24" s="133"/>
      <c r="S24" s="133"/>
      <c r="T24" s="133"/>
      <c r="U24" s="133"/>
      <c r="V24" s="133"/>
      <c r="W24" s="133"/>
      <c r="X24" s="133"/>
      <c r="Y24" s="133"/>
      <c r="Z24" s="133"/>
      <c r="AJ24" s="274"/>
      <c r="AK24" s="274"/>
      <c r="AL24" s="274"/>
      <c r="AM24" s="274"/>
      <c r="AN24" s="274"/>
    </row>
    <row r="25" spans="1:40">
      <c r="A25" s="275"/>
      <c r="B25" s="269"/>
      <c r="C25" s="617"/>
      <c r="D25" s="185">
        <f t="shared" ref="D25:I25" si="10">SUM(D24:D24)</f>
        <v>0</v>
      </c>
      <c r="E25" s="185">
        <f t="shared" si="10"/>
        <v>0</v>
      </c>
      <c r="F25" s="185">
        <f t="shared" si="10"/>
        <v>0</v>
      </c>
      <c r="G25" s="185">
        <f t="shared" si="10"/>
        <v>0</v>
      </c>
      <c r="H25" s="185">
        <f t="shared" si="10"/>
        <v>0</v>
      </c>
      <c r="I25" s="185">
        <f t="shared" si="10"/>
        <v>0</v>
      </c>
      <c r="J25" s="214"/>
      <c r="K25" s="214"/>
      <c r="L25" s="277">
        <f t="shared" ref="L25:Q25" si="11">SUM(L24:L24)</f>
        <v>0</v>
      </c>
      <c r="M25" s="277">
        <f t="shared" si="11"/>
        <v>0</v>
      </c>
      <c r="N25" s="277">
        <f t="shared" si="11"/>
        <v>0</v>
      </c>
      <c r="O25" s="277">
        <f t="shared" si="11"/>
        <v>0</v>
      </c>
      <c r="P25" s="277">
        <f t="shared" si="11"/>
        <v>0</v>
      </c>
      <c r="Q25" s="277">
        <f t="shared" si="11"/>
        <v>0</v>
      </c>
      <c r="R25" s="133"/>
      <c r="S25" s="133"/>
      <c r="T25" s="133"/>
      <c r="U25" s="133"/>
      <c r="V25" s="133"/>
      <c r="W25" s="133"/>
      <c r="X25" s="133"/>
      <c r="Y25" s="133"/>
      <c r="Z25" s="133"/>
      <c r="AJ25" s="274"/>
      <c r="AK25" s="274"/>
      <c r="AL25" s="274"/>
      <c r="AM25" s="274"/>
      <c r="AN25" s="274"/>
    </row>
    <row r="26" spans="1:40">
      <c r="A26" s="275"/>
      <c r="B26" s="279"/>
      <c r="C26" s="248"/>
      <c r="D26" s="273" t="s">
        <v>862</v>
      </c>
      <c r="E26" s="185">
        <f>E25-$D$25</f>
        <v>0</v>
      </c>
      <c r="F26" s="185">
        <f t="shared" ref="F26:I26" si="12">F25-$D$25</f>
        <v>0</v>
      </c>
      <c r="G26" s="185">
        <f t="shared" si="12"/>
        <v>0</v>
      </c>
      <c r="H26" s="185">
        <f t="shared" si="12"/>
        <v>0</v>
      </c>
      <c r="I26" s="185">
        <f t="shared" si="12"/>
        <v>0</v>
      </c>
      <c r="J26" s="214"/>
      <c r="K26" s="214"/>
      <c r="L26" s="214"/>
      <c r="M26" s="277">
        <f>M25-$L25</f>
        <v>0</v>
      </c>
      <c r="N26" s="277">
        <f t="shared" ref="N26:Q26" si="13">N25-$L25</f>
        <v>0</v>
      </c>
      <c r="O26" s="277">
        <f t="shared" si="13"/>
        <v>0</v>
      </c>
      <c r="P26" s="277">
        <f t="shared" si="13"/>
        <v>0</v>
      </c>
      <c r="Q26" s="277">
        <f t="shared" si="13"/>
        <v>0</v>
      </c>
      <c r="R26" s="133"/>
      <c r="S26" s="133"/>
      <c r="T26" s="133"/>
      <c r="U26" s="133"/>
      <c r="V26" s="133"/>
      <c r="W26" s="133"/>
      <c r="X26" s="133"/>
      <c r="Y26" s="133"/>
      <c r="Z26" s="133"/>
      <c r="AJ26" s="274"/>
      <c r="AK26" s="274"/>
      <c r="AL26" s="274"/>
      <c r="AM26" s="274"/>
      <c r="AN26" s="274"/>
    </row>
    <row r="27" spans="1:40">
      <c r="A27" s="275"/>
      <c r="B27" s="275"/>
      <c r="C27" s="275"/>
      <c r="D27" s="441"/>
      <c r="E27" s="442"/>
      <c r="F27" s="442"/>
      <c r="G27" s="442"/>
      <c r="H27" s="442"/>
      <c r="I27" s="442"/>
      <c r="J27" s="214"/>
      <c r="K27" s="214"/>
      <c r="L27" s="214"/>
      <c r="M27" s="214"/>
      <c r="N27" s="214"/>
      <c r="O27" s="214"/>
      <c r="P27" s="214"/>
      <c r="Q27" s="214"/>
      <c r="R27" s="133"/>
      <c r="S27" s="133"/>
      <c r="T27" s="133"/>
      <c r="U27" s="133"/>
      <c r="V27" s="133"/>
      <c r="W27" s="133"/>
      <c r="X27" s="133"/>
      <c r="Y27" s="133"/>
      <c r="Z27" s="133"/>
      <c r="AJ27" s="274"/>
      <c r="AK27" s="274"/>
      <c r="AL27" s="274"/>
      <c r="AM27" s="274"/>
      <c r="AN27" s="274"/>
    </row>
    <row r="28" spans="1:40">
      <c r="B28"/>
    </row>
    <row r="29" spans="1:40">
      <c r="B29"/>
    </row>
    <row r="30" spans="1:40">
      <c r="B30"/>
    </row>
    <row r="31" spans="1:40">
      <c r="B31"/>
    </row>
    <row r="32" spans="1:40">
      <c r="B32"/>
    </row>
  </sheetData>
  <sheetProtection algorithmName="SHA-512" hashValue="rVs3TJAfjinjtPz3k8SDGVC2mqQPG9RoxuuoToGZBB2f2aAudfidiu/JOHiW77/V5TJJ6lFaLu3HoatiuQvDIA==" saltValue="wOe0rRjxH1lCCq95R5KhD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www.w3.org/XML/1998/namespace"/>
    <ds:schemaRef ds:uri="c1f338ac-e338-414f-952c-f74dcc6d59e1"/>
    <ds:schemaRef ds:uri="0eb656aa-4e79-4e95-9076-bc119a23e0cc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caf4567-dc07-471f-892c-2bcb86ef35a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TA999 Vibegron for treating symptoms of overactive bladder syndrome: resource impact template 04/09/2024</dc:title>
  <dc:subject/>
  <dc:creator/>
  <cp:keywords/>
  <dc:description/>
  <cp:lastModifiedBy/>
  <cp:revision/>
  <dcterms:created xsi:type="dcterms:W3CDTF">2022-07-27T12:38:28Z</dcterms:created>
  <dcterms:modified xsi:type="dcterms:W3CDTF">2025-01-03T17:19:19Z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